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t6ukllyKS2W2WmVilFvYBeqazdfmJMfkE3lnebrWOlLRc32rGwNbSl1m0uSyDri7RCrGpjaH9n4zhL9f12D/8w==" workbookSaltValue="3I30KyoKE8rykfbUTRLv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BF17" i="8" l="1"/>
  <c r="T9" i="11"/>
  <c r="BK13" i="11"/>
  <c r="BK16" i="11"/>
  <c r="BJ12" i="11"/>
  <c r="V22" i="11"/>
  <c r="BM20" i="11"/>
  <c r="BU28" i="17"/>
  <c r="BW9" i="20"/>
  <c r="BV25" i="16"/>
  <c r="BU17" i="17"/>
  <c r="BL20" i="11"/>
  <c r="BH17" i="11"/>
  <c r="L28" i="2"/>
  <c r="AA11" i="16"/>
  <c r="BH11" i="16"/>
  <c r="BH19" i="16"/>
  <c r="BH19" i="11"/>
  <c r="V21" i="11"/>
  <c r="BJ29" i="11"/>
  <c r="AZ13" i="11"/>
  <c r="V29" i="11"/>
  <c r="AZ21" i="11"/>
  <c r="BJ28" i="11"/>
  <c r="BU11" i="17"/>
  <c r="BU21" i="17"/>
  <c r="BW17" i="20"/>
  <c r="X21" i="16"/>
  <c r="BU19" i="17"/>
  <c r="BV22" i="16"/>
  <c r="S22" i="17"/>
  <c r="S16" i="16"/>
  <c r="BL16" i="11"/>
  <c r="AZ25" i="11"/>
  <c r="AZ30" i="11" s="1"/>
  <c r="BM18" i="11"/>
  <c r="AQ12" i="21"/>
  <c r="BI21" i="11"/>
  <c r="BM29" i="11"/>
  <c r="BK9" i="11"/>
  <c r="BH9" i="11"/>
  <c r="BH28" i="16"/>
  <c r="BV17" i="16"/>
  <c r="BU9" i="17"/>
  <c r="BW10" i="20"/>
  <c r="BF20" i="11"/>
  <c r="BH21" i="11"/>
  <c r="BK17" i="11"/>
  <c r="BH25" i="11"/>
  <c r="L17" i="2"/>
  <c r="R13" i="17"/>
  <c r="P13" i="14"/>
  <c r="BE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6" i="11"/>
  <c r="S20" i="14"/>
  <c r="V20" i="14" s="1"/>
  <c r="S12" i="14"/>
  <c r="V12" i="14" s="1"/>
  <c r="S19" i="14"/>
  <c r="V19" i="14" s="1"/>
  <c r="S17" i="14"/>
  <c r="V17" i="14" s="1"/>
  <c r="S29" i="14"/>
  <c r="V29" i="14" s="1"/>
  <c r="R10" i="14"/>
  <c r="R12" i="14"/>
  <c r="R17" i="14"/>
  <c r="R19" i="14"/>
  <c r="R29" i="14"/>
  <c r="T13" i="11"/>
  <c r="T21" i="11"/>
  <c r="T25" i="11"/>
  <c r="T29"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9" i="12" l="1"/>
  <c r="K16" i="12"/>
  <c r="AZ14" i="11"/>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<sst xmlns="http://schemas.openxmlformats.org/spreadsheetml/2006/main" count="2682" uniqueCount="1193">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</sst>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eNXOudWdZ0kE6m9tfDJ4BRhPVo531hXK1MR0unvlGQYiEoPOUlY1w/FqEONJucPAQ7iIVht4FxONBQyiuXJcA==" saltValue="mmi7McN1SP2ZG5JAaFPM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v>
      </c>
      <c r="F10" s="240">
        <f>IF(ISNUMBER(Datos!K10),Datos!K10," - ")</f>
        <v>2</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93.5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55.44252873563218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311</v>
      </c>
      <c r="D17" s="239">
        <f>IF(ISNUMBER(IF(D_I="SI",Datos!I17,Datos!I17+Datos!AC17)),IF(D_I="SI",Datos!I17,Datos!I17+Datos!AC17)," - ")</f>
        <v>311</v>
      </c>
      <c r="E17" s="240">
        <f>IF(ISNUMBER(IF(D_I="SI",Datos!J17,Datos!J17+Datos!AD17)),IF(D_I="SI",Datos!J17,Datos!J17+Datos!AD17)," - ")</f>
        <v>392</v>
      </c>
      <c r="F17" s="240">
        <f>IF(ISNUMBER(IF(D_I="SI",Datos!K17,Datos!K17+Datos!AE17)),IF(D_I="SI",Datos!K17,Datos!K17+Datos!AE17)," - ")</f>
        <v>277</v>
      </c>
      <c r="G17" s="1390" t="str">
        <f>IF(Datos!E17&lt;&gt;"",Datos!E17,Datos!D17)</f>
        <v>04</v>
      </c>
      <c r="H17" s="241">
        <f>IF(ISNUMBER(IF(D_I="SI",Datos!L17,Datos!L17+Datos!AF17)),IF(D_I="SI",Datos!L17,Datos!L17+Datos!AF17)," - ")</f>
        <v>426</v>
      </c>
      <c r="I17" s="1400" t="str">
        <f>IF(ISNUMBER(Datos!AS17/Datos!BM17),Datos!AS17/Datos!BM17," - ")</f>
        <v xml:space="preserve"> - </v>
      </c>
      <c r="J17" s="1401">
        <f>IF(ISNUMBER(Datos!BY17/Datos!CN17),Datos!BY17/Datos!CN17," - ")</f>
        <v>0</v>
      </c>
      <c r="K17" s="244">
        <f t="shared" si="3"/>
        <v>0.36977491961414793</v>
      </c>
      <c r="L17" s="1402">
        <f>IF(ISNUMBER(NºAsuntos!I17/NºAsuntos!G17),(NºAsuntos!I17/NºAsuntos!G17)*11," - ")</f>
        <v>16.916967509025273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32</v>
      </c>
      <c r="F18" s="240">
        <f>IF(ISNUMBER(IF(D_I="SI",Datos!K18,Datos!K18+Datos!AE18)),IF(D_I="SI",Datos!K18,Datos!K18+Datos!AE18)," - ")</f>
        <v>23</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34.434782608695656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374</v>
      </c>
      <c r="D23" s="1407">
        <f>SUBTOTAL(9,D16:D22)</f>
        <v>374</v>
      </c>
      <c r="E23" s="1408">
        <f>SUBTOTAL(9,E16:E22)</f>
        <v>424</v>
      </c>
      <c r="F23" s="1408">
        <f>SUBTOTAL(9,F16:F22)</f>
        <v>300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v>
      </c>
      <c r="D31" s="1435">
        <f>SUBTOTAL(9,D9:D30)</f>
        <v>392</v>
      </c>
      <c r="E31" s="1436">
        <f>SUBTOTAL(9,E9:E30)</f>
        <v>425</v>
      </c>
      <c r="F31" s="1436">
        <f>SUBTOTAL(9,F9:F30)</f>
        <v>302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c3EpyT0rFVw30COxDlM29vVijFSvzrRyTGwyh9mBsqnZdLtW8WiygCAYOBqEiyl/7ZySn72RoW2dV6qp6QoYQ==" saltValue="5Yk+zatBITnKxeAo2mI5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TDAa8osm/NO6pawi7nVs8jduI8vQ1L4SCxWwKIS83Z+hOoxxvA1blYc6ldSL+G23BZOFOV+3BQQRlj0n0DZpA==" saltValue="x1QdqLpQzcTEbuw0XYm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v>
      </c>
      <c r="K10" s="194">
        <v>2</v>
      </c>
      <c r="L10" s="194">
        <v>17</v>
      </c>
      <c r="M10" s="194">
        <v>0</v>
      </c>
      <c r="N10" s="194">
        <v>1</v>
      </c>
      <c r="O10" s="194">
        <v>0</v>
      </c>
      <c r="P10" s="194">
        <v>0</v>
      </c>
      <c r="Q10" s="194">
        <v>9</v>
      </c>
      <c r="R10" s="194">
        <v>3</v>
      </c>
      <c r="S10" s="194">
        <v>15</v>
      </c>
      <c r="T10" s="194">
        <v>5</v>
      </c>
      <c r="U10" s="194">
        <v>3</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5</v>
      </c>
      <c r="BA10" s="139">
        <f t="shared" si="0"/>
        <v>3</v>
      </c>
      <c r="BB10" s="139">
        <f t="shared" si="0"/>
        <v>17</v>
      </c>
      <c r="BC10" s="135">
        <f t="shared" si="0"/>
        <v>2</v>
      </c>
      <c r="BD10" s="136">
        <f>IF(ISNUMBER(BA10/AZ10),BA10/AZ10," - ")</f>
        <v>0.6</v>
      </c>
      <c r="BE10" s="137">
        <f>IF(ISNUMBER(BB10/BA10),BB10/BA10, " - ")</f>
        <v>5.666666666666667</v>
      </c>
      <c r="BF10" s="137">
        <f>IF(ISNUMBER(BC10/BA10),BC10/BA10, " - ")</f>
        <v>0.66666666666666663</v>
      </c>
      <c r="BG10" s="209">
        <f>IF(ISNUMBER((AY10+AZ10)/BA10),(AY10+AZ10)/BA10," - ")</f>
        <v>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776</v>
      </c>
      <c r="J12" s="196">
        <v>243</v>
      </c>
      <c r="K12" s="196">
        <v>149</v>
      </c>
      <c r="L12" s="196">
        <v>870</v>
      </c>
      <c r="M12" s="196">
        <v>44</v>
      </c>
      <c r="N12" s="196">
        <v>63</v>
      </c>
      <c r="O12" s="194">
        <v>82</v>
      </c>
      <c r="P12" s="196">
        <v>33</v>
      </c>
      <c r="Q12" s="196">
        <v>93</v>
      </c>
      <c r="R12" s="196">
        <v>912</v>
      </c>
      <c r="S12" s="196">
        <v>780</v>
      </c>
      <c r="T12" s="196">
        <v>188</v>
      </c>
      <c r="U12" s="196">
        <v>184</v>
      </c>
      <c r="V12" s="196">
        <v>784</v>
      </c>
      <c r="W12" s="196">
        <v>30</v>
      </c>
      <c r="X12" s="202">
        <v>79</v>
      </c>
      <c r="Y12" s="204">
        <v>23</v>
      </c>
      <c r="Z12" s="194">
        <v>9</v>
      </c>
      <c r="AA12" s="194">
        <v>25</v>
      </c>
      <c r="AB12" s="194">
        <v>7</v>
      </c>
      <c r="AC12" s="196">
        <v>0</v>
      </c>
      <c r="AD12" s="196">
        <v>0</v>
      </c>
      <c r="AE12" s="196">
        <v>0</v>
      </c>
      <c r="AF12" s="202">
        <v>0</v>
      </c>
      <c r="AG12" s="215">
        <v>37</v>
      </c>
      <c r="AH12" s="196">
        <v>7</v>
      </c>
      <c r="AI12" s="196">
        <v>8</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817</v>
      </c>
      <c r="AZ12" s="137">
        <f t="shared" si="1"/>
        <v>195</v>
      </c>
      <c r="BA12" s="137">
        <f t="shared" si="1"/>
        <v>192</v>
      </c>
      <c r="BB12" s="137">
        <f t="shared" si="1"/>
        <v>820</v>
      </c>
      <c r="BC12" s="135">
        <f>IF(ISNUMBER(X12),X12," - ")</f>
        <v>79</v>
      </c>
      <c r="BD12" s="136">
        <f t="shared" si="2"/>
        <v>0.98461538461538467</v>
      </c>
      <c r="BE12" s="137">
        <f t="shared" si="3"/>
        <v>4.270833333333333</v>
      </c>
      <c r="BF12" s="137">
        <f t="shared" si="4"/>
        <v>0.41145833333333331</v>
      </c>
      <c r="BG12" s="209">
        <f t="shared" si="5"/>
        <v>5.270833333333333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794</v>
      </c>
      <c r="J14" s="197">
        <f t="shared" si="7"/>
        <v>244</v>
      </c>
      <c r="K14" s="197">
        <f t="shared" si="7"/>
        <v>151</v>
      </c>
      <c r="L14" s="197">
        <f t="shared" si="7"/>
        <v>887</v>
      </c>
      <c r="M14" s="197">
        <f t="shared" si="7"/>
        <v>44</v>
      </c>
      <c r="N14" s="197">
        <f t="shared" si="7"/>
        <v>64</v>
      </c>
      <c r="O14" s="197">
        <f t="shared" si="7"/>
        <v>82</v>
      </c>
      <c r="P14" s="197">
        <f t="shared" si="7"/>
        <v>33</v>
      </c>
      <c r="Q14" s="197">
        <f t="shared" si="7"/>
        <v>102</v>
      </c>
      <c r="R14" s="197">
        <f t="shared" si="7"/>
        <v>915</v>
      </c>
      <c r="S14" s="197">
        <f t="shared" si="7"/>
        <v>795</v>
      </c>
      <c r="T14" s="197">
        <f t="shared" si="7"/>
        <v>193</v>
      </c>
      <c r="U14" s="197">
        <f t="shared" si="7"/>
        <v>187</v>
      </c>
      <c r="V14" s="197">
        <f t="shared" si="7"/>
        <v>801</v>
      </c>
      <c r="W14" s="197">
        <f t="shared" si="7"/>
        <v>32</v>
      </c>
      <c r="X14" s="197">
        <f t="shared" si="7"/>
        <v>79</v>
      </c>
      <c r="Y14" s="197">
        <f t="shared" si="7"/>
        <v>23</v>
      </c>
      <c r="Z14" s="197">
        <f t="shared" si="7"/>
        <v>9</v>
      </c>
      <c r="AA14" s="197">
        <f t="shared" si="7"/>
        <v>25</v>
      </c>
      <c r="AB14" s="197">
        <f t="shared" si="7"/>
        <v>7</v>
      </c>
      <c r="AC14" s="197">
        <f t="shared" si="7"/>
        <v>0</v>
      </c>
      <c r="AD14" s="197">
        <f t="shared" si="7"/>
        <v>0</v>
      </c>
      <c r="AE14" s="197">
        <f t="shared" si="7"/>
        <v>0</v>
      </c>
      <c r="AF14" s="197">
        <f>SUBTOTAL(9,AF9:AF13)</f>
        <v>0</v>
      </c>
      <c r="AG14" s="197">
        <f t="shared" ref="AG14:AT14" si="8">SUBTOTAL(9,AG8:AG13)</f>
        <v>37</v>
      </c>
      <c r="AH14" s="197">
        <f t="shared" si="8"/>
        <v>7</v>
      </c>
      <c r="AI14" s="197">
        <f t="shared" si="8"/>
        <v>8</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832</v>
      </c>
      <c r="AZ14" s="197">
        <f>SUBTOTAL(9,AZ8:AZ13)</f>
        <v>200</v>
      </c>
      <c r="BA14" s="197">
        <f>SUBTOTAL(9,BA8:BA13)</f>
        <v>195</v>
      </c>
      <c r="BB14" s="197">
        <f>SUBTOTAL(9,BB8:BB13)</f>
        <v>837</v>
      </c>
      <c r="BC14" s="197">
        <f>SUBTOTAL(9,BC8:BC13)</f>
        <v>81</v>
      </c>
      <c r="BD14" s="219">
        <f>IF(ISNUMBER(BA14/AZ14),BA14/AZ14," - ")</f>
        <v>0.97499999999999998</v>
      </c>
      <c r="BE14" s="220">
        <f>IF(ISNUMBER(BB14/BA14),BB14/BA14, " - ")</f>
        <v>4.2923076923076922</v>
      </c>
      <c r="BF14" s="220">
        <f>IF(ISNUMBER(BC14/BA14),BC14/BA14, " - ")</f>
        <v>0.41538461538461541</v>
      </c>
      <c r="BG14" s="221">
        <f>IF(ISNUMBER((AY14+AZ14)/BA14),(AY14+AZ14)/BA14," - ")</f>
        <v>5.2923076923076922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311</v>
      </c>
      <c r="J17" s="196">
        <v>392</v>
      </c>
      <c r="K17" s="196">
        <v>277</v>
      </c>
      <c r="L17" s="196">
        <v>426</v>
      </c>
      <c r="M17" s="196">
        <v>33</v>
      </c>
      <c r="N17" s="196">
        <v>196</v>
      </c>
      <c r="O17" s="194">
        <v>0</v>
      </c>
      <c r="P17" s="196">
        <v>2</v>
      </c>
      <c r="Q17" s="196">
        <v>1</v>
      </c>
      <c r="R17" s="196">
        <v>47</v>
      </c>
      <c r="S17" s="196">
        <v>227</v>
      </c>
      <c r="T17" s="196">
        <v>320</v>
      </c>
      <c r="U17" s="196">
        <v>314</v>
      </c>
      <c r="V17" s="196">
        <v>236</v>
      </c>
      <c r="W17" s="196">
        <v>33</v>
      </c>
      <c r="X17" s="202">
        <v>214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227</v>
      </c>
      <c r="AZ17" s="137">
        <f t="shared" si="10"/>
        <v>320</v>
      </c>
      <c r="BA17" s="137">
        <f t="shared" si="10"/>
        <v>314</v>
      </c>
      <c r="BB17" s="137">
        <f t="shared" si="10"/>
        <v>236</v>
      </c>
      <c r="BC17" s="135">
        <f>IF(ISNUMBER(W17),W17," - ")</f>
        <v>33</v>
      </c>
      <c r="BD17" s="136">
        <f t="shared" ref="BD17:BD22" si="12">IF(ISNUMBER(BA17/AZ17),BA17/AZ17," - ")</f>
        <v>0.98124999999999996</v>
      </c>
      <c r="BE17" s="137">
        <f t="shared" ref="BE17:BE22" si="13">IF(ISNUMBER(BB17/BA17),BB17/BA17, " - ")</f>
        <v>0.75159235668789814</v>
      </c>
      <c r="BF17" s="137">
        <f t="shared" ref="BF17:BF22" si="14">IF(ISNUMBER(BC17/BA17),BC17/BA17, " - ")</f>
        <v>0.10509554140127389</v>
      </c>
      <c r="BG17" s="209">
        <f t="shared" si="11"/>
        <v>1.7420382165605095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32</v>
      </c>
      <c r="K18" s="196">
        <v>23</v>
      </c>
      <c r="L18" s="196">
        <v>72</v>
      </c>
      <c r="M18" s="196">
        <v>2</v>
      </c>
      <c r="N18" s="196">
        <v>10</v>
      </c>
      <c r="O18" s="196">
        <v>0</v>
      </c>
      <c r="P18" s="196">
        <v>1</v>
      </c>
      <c r="Q18" s="196">
        <v>0</v>
      </c>
      <c r="R18" s="196">
        <v>4</v>
      </c>
      <c r="S18" s="196">
        <v>24</v>
      </c>
      <c r="T18" s="196">
        <v>34</v>
      </c>
      <c r="U18" s="196">
        <v>26</v>
      </c>
      <c r="V18" s="196">
        <v>32</v>
      </c>
      <c r="W18" s="196">
        <v>6</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34</v>
      </c>
      <c r="BA18" s="139">
        <f t="shared" si="15"/>
        <v>26</v>
      </c>
      <c r="BB18" s="139">
        <f t="shared" si="15"/>
        <v>32</v>
      </c>
      <c r="BC18" s="135">
        <f>IF(ISNUMBER(W18),W18," - ")</f>
        <v>6</v>
      </c>
      <c r="BD18" s="136">
        <f>IF(ISNUMBER(BA18/AZ18),BA18/AZ18," - ")</f>
        <v>0.76470588235294112</v>
      </c>
      <c r="BE18" s="137">
        <f>IF(ISNUMBER(BB18/BA18),BB18/BA18, " - ")</f>
        <v>1.2307692307692308</v>
      </c>
      <c r="BF18" s="137">
        <f>IF(ISNUMBER(BC18/BA18),BC18/BA18, " - ")</f>
        <v>0.23076923076923078</v>
      </c>
      <c r="BG18" s="209">
        <f>IF(ISNUMBER((AY18+AZ18)/BA18),(AY18+AZ18)/BA18," - ")</f>
        <v>2.2307692307692308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374</v>
      </c>
      <c r="J23" s="197">
        <f t="shared" si="21"/>
        <v>424</v>
      </c>
      <c r="K23" s="197">
        <f t="shared" si="21"/>
        <v>300</v>
      </c>
      <c r="L23" s="197">
        <f t="shared" si="21"/>
        <v>498</v>
      </c>
      <c r="M23" s="197">
        <f t="shared" si="21"/>
        <v>35</v>
      </c>
      <c r="N23" s="197">
        <f t="shared" si="21"/>
        <v>206</v>
      </c>
      <c r="O23" s="197">
        <f t="shared" si="21"/>
        <v>0</v>
      </c>
      <c r="P23" s="197">
        <f t="shared" si="21"/>
        <v>3</v>
      </c>
      <c r="Q23" s="197">
        <f t="shared" si="21"/>
        <v>1</v>
      </c>
      <c r="R23" s="197">
        <f t="shared" si="21"/>
        <v>51</v>
      </c>
      <c r="S23" s="197">
        <f t="shared" si="21"/>
        <v>251</v>
      </c>
      <c r="T23" s="197">
        <f t="shared" si="21"/>
        <v>354</v>
      </c>
      <c r="U23" s="197">
        <f t="shared" si="21"/>
        <v>340</v>
      </c>
      <c r="V23" s="197">
        <f t="shared" si="21"/>
        <v>268</v>
      </c>
      <c r="W23" s="197">
        <f t="shared" si="21"/>
        <v>39</v>
      </c>
      <c r="X23" s="197">
        <f t="shared" si="21"/>
        <v>223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251</v>
      </c>
      <c r="AZ23" s="197">
        <f>SUBTOTAL(9,AZ15:AZ22)</f>
        <v>354</v>
      </c>
      <c r="BA23" s="197">
        <f>SUBTOTAL(9,BA15:BA22)</f>
        <v>340</v>
      </c>
      <c r="BB23" s="197">
        <f>SUBTOTAL(9,BB15:BB22)</f>
        <v>268</v>
      </c>
      <c r="BC23" s="197">
        <f>SUBTOTAL(9,BC15:BC22)</f>
        <v>39</v>
      </c>
      <c r="BD23" s="219">
        <f>IF(ISNUMBER(BA23/AZ23),BA23/AZ23," - ")</f>
        <v>0.96045197740112997</v>
      </c>
      <c r="BE23" s="220">
        <f>IF(ISNUMBER(BB23/BA23),BB23/BA23, " - ")</f>
        <v>0.78823529411764703</v>
      </c>
      <c r="BF23" s="220">
        <f>IF(ISNUMBER(BC23/BA23),BC23/BA23, " - ")</f>
        <v>0.11470588235294117</v>
      </c>
      <c r="BG23" s="221">
        <f>IF(ISNUMBER((AY23+AZ23)/BA23),(AY23+AZ23)/BA23," - ")</f>
        <v>1.7794117647058822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1168</v>
      </c>
      <c r="J31" s="144">
        <f t="shared" si="36"/>
        <v>668</v>
      </c>
      <c r="K31" s="144">
        <f t="shared" si="36"/>
        <v>451</v>
      </c>
      <c r="L31" s="144">
        <f t="shared" si="36"/>
        <v>1385</v>
      </c>
      <c r="M31" s="144">
        <f t="shared" si="36"/>
        <v>79</v>
      </c>
      <c r="N31" s="144">
        <f t="shared" si="36"/>
        <v>270</v>
      </c>
      <c r="O31" s="144">
        <f t="shared" si="36"/>
        <v>82</v>
      </c>
      <c r="P31" s="144">
        <f t="shared" si="36"/>
        <v>36</v>
      </c>
      <c r="Q31" s="144">
        <f t="shared" si="36"/>
        <v>103</v>
      </c>
      <c r="R31" s="144">
        <f t="shared" si="36"/>
        <v>966</v>
      </c>
      <c r="S31" s="144">
        <f t="shared" si="36"/>
        <v>1046</v>
      </c>
      <c r="T31" s="144">
        <f t="shared" si="36"/>
        <v>547</v>
      </c>
      <c r="U31" s="144">
        <f t="shared" si="36"/>
        <v>527</v>
      </c>
      <c r="V31" s="144">
        <f t="shared" si="36"/>
        <v>1069</v>
      </c>
      <c r="W31" s="144">
        <f t="shared" si="36"/>
        <v>71</v>
      </c>
      <c r="X31" s="144">
        <f t="shared" si="36"/>
        <v>302</v>
      </c>
      <c r="Y31" s="144">
        <f t="shared" si="36"/>
        <v>23</v>
      </c>
      <c r="Z31" s="144">
        <f t="shared" si="36"/>
        <v>9</v>
      </c>
      <c r="AA31" s="144">
        <f t="shared" si="36"/>
        <v>25</v>
      </c>
      <c r="AB31" s="144">
        <f t="shared" si="36"/>
        <v>7</v>
      </c>
      <c r="AC31" s="144">
        <f t="shared" si="36"/>
        <v>0</v>
      </c>
      <c r="AD31" s="144">
        <f t="shared" si="36"/>
        <v>0</v>
      </c>
      <c r="AE31" s="144">
        <f t="shared" si="36"/>
        <v>0</v>
      </c>
      <c r="AF31" s="144">
        <f t="shared" si="36"/>
        <v>0</v>
      </c>
      <c r="AG31" s="144">
        <f t="shared" si="36"/>
        <v>37</v>
      </c>
      <c r="AH31" s="144">
        <f t="shared" si="36"/>
        <v>7</v>
      </c>
      <c r="AI31" s="144">
        <f t="shared" si="36"/>
        <v>8</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1083</v>
      </c>
      <c r="AZ31" s="144">
        <f>SUBTOTAL(9,AZ9:AZ30)</f>
        <v>554</v>
      </c>
      <c r="BA31" s="144">
        <f>SUBTOTAL(9,BA9:BA30)</f>
        <v>535</v>
      </c>
      <c r="BB31" s="144">
        <f>SUBTOTAL(9,BB9:BB30)</f>
        <v>1105</v>
      </c>
      <c r="BC31" s="145">
        <f>SUBTOTAL(9,BC9:BC30)</f>
        <v>120</v>
      </c>
      <c r="BD31" s="227">
        <f>IF(ISNUMBER(BA31/AZ31),BA31/AZ31," - ")</f>
        <v>0.96570397111913353</v>
      </c>
      <c r="BE31" s="224">
        <f>IF(ISNUMBER(BB31/BA31),BB31/BA31, " - ")</f>
        <v>2.0654205607476634</v>
      </c>
      <c r="BF31" s="224">
        <f>IF(ISNUMBER(BC31/BA31),BC31/BA31, " - ")</f>
        <v>0.22429906542056074</v>
      </c>
      <c r="BG31" s="145">
        <f>IF(ISNUMBER((AY31+AZ31)/BA31),(AY31+AZ31)/BA31," - ")</f>
        <v>3.0598130841121494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22xs/pNfYS0ygvTSmvAxZTaW1iMoWAWmsTd7jd6jALw+ilp5uPbSujXHvo+Jdu9Xd6vmeSHIisdUISjzfL/g==" saltValue="6ui1wbcwe0AG4xsDoY1T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AmRyLzeJPeKQiBgimNCTUrw4TuvdxvOHss5i3dHkRUXUeRi+qzH2J8CYF25OCpJ5Ed49OriELR7WswDHaJIw==" saltValue="Joge14anqi+6rxuZ0Bu4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LA SEU D'URGELL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9</v>
      </c>
      <c r="AD10" s="549"/>
      <c r="AE10" s="563"/>
      <c r="AF10" s="551">
        <f>IF(ISNUMBER(Datos!L10),Datos!L10,"-")</f>
        <v>17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912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0.69047619047619047</v>
      </c>
      <c r="BH12" s="764">
        <f>IF(ISNUMBER(((IF(J_V="SI",Datos!L12/Datos!K12,(Datos!L12+Datos!AB12)/(Datos!K12+Datos!AA12)))*11)/factor_trimestre),((IF(J_V="SI",Datos!L12/Datos!K12,(Datos!L12+Datos!AB12)/(Datos!K12+Datos!AA12)))*11)/factor_trimestre," - ")</f>
        <v>10.080459770114942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-6.1728395061728392E-2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102</v>
      </c>
      <c r="AD14" s="1198">
        <f t="shared" si="2"/>
        <v>0</v>
      </c>
      <c r="AE14" s="1198">
        <f t="shared" si="2"/>
        <v>0</v>
      </c>
      <c r="AF14" s="1198">
        <f t="shared" si="2"/>
        <v>17</v>
      </c>
      <c r="AG14" s="1198">
        <f t="shared" si="2"/>
        <v>0</v>
      </c>
      <c r="AH14" s="1198">
        <f t="shared" si="2"/>
        <v>7</v>
      </c>
      <c r="AI14" s="1198">
        <f t="shared" si="2"/>
        <v>0</v>
      </c>
      <c r="AJ14" s="1198">
        <f t="shared" si="2"/>
        <v>0</v>
      </c>
      <c r="AK14" s="1198">
        <f t="shared" si="2"/>
        <v>0</v>
      </c>
      <c r="AL14" s="1198">
        <f t="shared" si="2"/>
        <v>0</v>
      </c>
      <c r="AM14" s="1198">
        <f t="shared" si="2"/>
        <v>915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64</v>
      </c>
      <c r="BE14" s="1198">
        <f t="shared" si="2"/>
        <v>0</v>
      </c>
      <c r="BF14" s="1198">
        <f t="shared" si="2"/>
        <v>0</v>
      </c>
      <c r="BG14" s="1198">
        <f>IF(ISNUMBER(Datos!K14/Datos!J14),Datos!K14/Datos!J14," - ")</f>
        <v>0.61885245901639341</v>
      </c>
      <c r="BH14" s="1202">
        <f>IF(ISNUMBER(((Datos!L14/Datos!K14)*11)/factor_trimestre),((Datos!L14/Datos!K14)*11)/factor_trimestre," - ")</f>
        <v>11.748344370860927</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-0.1111111111111111</v>
      </c>
      <c r="BM14" s="1203">
        <f>SUBTOTAL(9,BM9:BM13)</f>
        <v>-0.81172839506172845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311</v>
      </c>
      <c r="G17" s="743">
        <f>IF(ISNUMBER(IF(D_I="SI",Datos!I17,Datos!I17+Datos!AC17)),IF(D_I="SI",Datos!I17,Datos!I17+Datos!AC17)," - ")</f>
        <v>311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277</v>
      </c>
      <c r="AC17" s="240">
        <f>IF(ISNUMBER(Datos!Q17),Datos!Q17," - ")</f>
        <v>1</v>
      </c>
      <c r="AD17" s="374"/>
      <c r="AE17" s="562"/>
      <c r="AF17" s="741">
        <f>IF(ISNUMBER(IF(D_I="SI",Datos!L17,Datos!L17+Datos!AF17)),IF(D_I="SI",Datos!L17,Datos!L17+Datos!AF17)," - ")</f>
        <v>426</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0.70663265306122447</v>
      </c>
      <c r="BH17" s="764">
        <f>IF(ISNUMBER(((IF(D_I="SI",Datos!L17/Datos!K17,(Datos!L17+Datos!AF17)/(Datos!K17+Datos!AE17)))*11)/factor_trimestre),((IF(D_I="SI",Datos!L17/Datos!K17,(Datos!L17+Datos!AF17)/(Datos!K17+Datos!AE17)))*11)/factor_trimestre," - ")</f>
        <v>3.0758122743682317</v>
      </c>
      <c r="BI17" s="266">
        <f>IF(ISNUMBER('Resol  Asuntos'!D17/NºAsuntos!G17),'Resol  Asuntos'!D17/NºAsuntos!G17," - ")</f>
        <v>0.11913357400722022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72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0.71875</v>
      </c>
      <c r="BH18" s="764">
        <f>IF(ISNUMBER(((IF(D_I="SI",Datos!L18/Datos!K18,(Datos!L18+Datos!AF18)/(Datos!K18+Datos!AE18)))*11)/factor_trimestre),((IF(D_I="SI",Datos!L18/Datos!K18,(Datos!L18+Datos!AF18)/(Datos!K18+Datos!AE18)))*11)/factor_trimestre," - ")</f>
        <v>6.2608695652173916</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311</v>
      </c>
      <c r="G23" s="1197">
        <f>SUBTOTAL(9,G16:G22)</f>
        <v>374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v>
      </c>
      <c r="AC23" s="1198">
        <f t="shared" si="5"/>
        <v>1</v>
      </c>
      <c r="AD23" s="1198">
        <f t="shared" si="5"/>
        <v>0</v>
      </c>
      <c r="AE23" s="1198">
        <f t="shared" si="5"/>
        <v>0</v>
      </c>
      <c r="AF23" s="1198">
        <f t="shared" si="5"/>
        <v>498</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206</v>
      </c>
      <c r="BE23" s="1198">
        <f t="shared" si="5"/>
        <v>0</v>
      </c>
      <c r="BF23" s="1198">
        <f t="shared" si="5"/>
        <v>0</v>
      </c>
      <c r="BG23" s="1198">
        <f>IF(ISNUMBER(Datos!K23/Datos!J23),Datos!K23/Datos!J23," - ")</f>
        <v>0.70754716981132071</v>
      </c>
      <c r="BH23" s="1202">
        <f>IF(ISNUMBER(((Datos!L23/Datos!K23)*11)/factor_trimestre),((Datos!L23/Datos!K23)*11)/factor_trimestre," - ")</f>
        <v>3.32</v>
      </c>
      <c r="BI23" s="1198">
        <f>SUBTOTAL(9,BI16:BI22)</f>
        <v>0.20609009574635065</v>
      </c>
      <c r="BJ23" s="1198">
        <f>SUBTOTAL(9,BJ16:BJ22)</f>
        <v>0</v>
      </c>
      <c r="BK23" s="1198">
        <f>SUBTOTAL(9,BK16:BK22)</f>
        <v>0</v>
      </c>
      <c r="BL23" s="1198">
        <f>IF(ISNUMBER((I23-AB23+L23)/(F23)),(I23-AB23+L23)/(F23)," - ")</f>
        <v>-0.96463022508038587</v>
      </c>
      <c r="BM23" s="1205">
        <f>IF(ISNUMBER((Datos!P23-Datos!Q23)/(Datos!R23-Datos!P23+Datos!Q23)),(Datos!P23-Datos!Q23)/(Datos!R23-Datos!P23+Datos!Q23)," - ")</f>
        <v>4.0816326530612242E-2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329</v>
      </c>
      <c r="G31" s="1117">
        <f t="shared" si="18"/>
        <v>392</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302</v>
      </c>
      <c r="AC31" s="1118">
        <f t="shared" si="19"/>
        <v>103</v>
      </c>
      <c r="AD31" s="1118">
        <f t="shared" si="19"/>
        <v>0</v>
      </c>
      <c r="AE31" s="1118">
        <f t="shared" si="19"/>
        <v>0</v>
      </c>
      <c r="AF31" s="1125">
        <f t="shared" si="19"/>
        <v>515</v>
      </c>
      <c r="AG31" s="1125">
        <f t="shared" si="19"/>
        <v>0</v>
      </c>
      <c r="AH31" s="1125">
        <f t="shared" si="19"/>
        <v>7</v>
      </c>
      <c r="AI31" s="1125">
        <f t="shared" si="19"/>
        <v>0</v>
      </c>
      <c r="AJ31" s="1118">
        <f t="shared" si="19"/>
        <v>0</v>
      </c>
      <c r="AK31" s="1125">
        <f t="shared" si="19"/>
        <v>0</v>
      </c>
      <c r="AL31" s="1125">
        <f t="shared" si="19"/>
        <v>0</v>
      </c>
      <c r="AM31" s="1125">
        <f t="shared" si="19"/>
        <v>966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v>
      </c>
      <c r="BD31" s="1117">
        <f t="shared" si="19"/>
        <v>270</v>
      </c>
      <c r="BE31" s="1117">
        <f t="shared" si="19"/>
        <v>0</v>
      </c>
      <c r="BF31" s="1127">
        <f t="shared" si="19"/>
        <v>0</v>
      </c>
      <c r="BG31" s="1223">
        <f>IF(ISNUMBER(Datos!K31/Datos!J31),Datos!K31/Datos!J31," - ")</f>
        <v>0.67514970059880242</v>
      </c>
      <c r="BH31" s="1223">
        <f>IF(ISNUMBER(((Datos!L31/Datos!K31)*11)/factor_trimestre),((Datos!L31/Datos!K31)*11)/factor_trimestre," - ")</f>
        <v>6.1419068736141904</v>
      </c>
      <c r="BI31" s="1103">
        <f>IF(ISNUMBER(Datos!J31/Datos!I31),Datos!J31/Datos!I31," - ")</f>
        <v>0.57191780821917804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-0.91793313069908811</v>
      </c>
      <c r="BM31" s="1188">
        <f>IF(ISNUMBER((Datos!P31-Datos!Q31+R31)/(Datos!R31-Datos!P31+Datos!Q31-R31)),(Datos!P31-Datos!Q31+R31)/(Datos!R31-Datos!P31+Datos!Q31-R31)," - ")</f>
        <v>-6.4859632139399812E-2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156.15974726755505</v>
      </c>
      <c r="G33" s="674">
        <f>IF(ISNUMBER(STDEV(G8:G30)),STDEV(G8:G30),"-")</f>
        <v>159.89892640873694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138.53364727953794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20.940391591371924</v>
      </c>
      <c r="BD33" s="673"/>
      <c r="BE33" s="673">
        <f>IF(ISNUMBER(STDEV(BE8:BE30)),STDEV(BE8:BE30),"-")</f>
        <v>0</v>
      </c>
      <c r="BF33" s="678">
        <f>IF(ISNUMBER(STDEV(BF8:BF30)),STDEV(BF8:BF30),"-")</f>
        <v>0</v>
      </c>
      <c r="BG33" s="1052">
        <f>IF(ISNUMBER(STDEV(BG8:BG30)),STDEV(BG8:BG30),"-")</f>
        <v>0.53664273441843957</v>
      </c>
      <c r="BH33" s="1058">
        <f>IF(ISNUMBER(STDEV(BH8:BH30)),STDEV(BH8:BH30),"-")</f>
        <v>5.4134689257560655</v>
      </c>
      <c r="BI33" s="273">
        <f>IF(ISNUMBER(STDEV(BI8:BI30)),STDEV(BI8:BI30),"-")</f>
        <v>7.5513180289081508E-2</v>
      </c>
      <c r="BJ33" s="244" t="str">
        <f>IF(ISNUMBER(BL33/BM33),BL33/BM33," - ")</f>
        <v xml:space="preserve"> - </v>
      </c>
      <c r="BK33" s="709"/>
      <c r="BL33" s="681">
        <f>IF(ISNUMBER(STDEV(BL8:BL30)),STDEV(BL8:BL30),"-")</f>
        <v>0.6035291533600079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ZWgMCvh7l1DPMYcAh0+MyGtxmOoWqKrFkU3SsTsH9RegfjKQozmlkenshIrPWV3jUOoehbF2qIIHNEUq6Aazg==" saltValue="z2i/TCbbL1a048oP+XvG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LA SEU D'URGELL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9</v>
      </c>
      <c r="AA10" s="551">
        <f>IF(ISNUMBER(Datos!L10),Datos!L10,"-")</f>
        <v>17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912</v>
      </c>
      <c r="AF12" s="693" t="str">
        <f>IF(ISNUMBER(Datos!BV12),Datos!BV12," - ")</f>
        <v xml:space="preserve"> - </v>
      </c>
      <c r="AG12" s="552" t="str">
        <f>IF(ISNUMBER(Datos!DV12),Datos!DV12," - ")</f>
        <v xml:space="preserve"> - </v>
      </c>
      <c r="AH12" s="553"/>
      <c r="AI12" s="554"/>
      <c r="AJ12" s="552">
        <f>IF(ISNUMBER(Datos!M12),Datos!M12," - ")</f>
        <v>44</v>
      </c>
      <c r="AK12" s="693">
        <f>IF(ISNUMBER(Datos!N12),Datos!N12," - ")</f>
        <v>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10.080459770114942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-6.1728395061728392E-2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102</v>
      </c>
      <c r="AA14" s="1199">
        <f t="shared" si="3"/>
        <v>17</v>
      </c>
      <c r="AB14" s="1199">
        <f t="shared" si="3"/>
        <v>0</v>
      </c>
      <c r="AC14" s="1199">
        <f t="shared" si="3"/>
        <v>0</v>
      </c>
      <c r="AD14" s="1199">
        <f t="shared" si="3"/>
        <v>0</v>
      </c>
      <c r="AE14" s="1199">
        <f t="shared" si="3"/>
        <v>915</v>
      </c>
      <c r="AF14" s="1211">
        <f t="shared" si="3"/>
        <v>0</v>
      </c>
      <c r="AG14" s="1211">
        <f t="shared" si="3"/>
        <v>0</v>
      </c>
      <c r="AH14" s="1211">
        <f t="shared" si="3"/>
        <v>0</v>
      </c>
      <c r="AI14" s="1211">
        <f t="shared" si="3"/>
        <v>0</v>
      </c>
      <c r="AJ14" s="1211">
        <f t="shared" si="3"/>
        <v>44</v>
      </c>
      <c r="AK14" s="1211">
        <f t="shared" si="3"/>
        <v>64</v>
      </c>
      <c r="AL14" s="1211">
        <f t="shared" si="3"/>
        <v>0</v>
      </c>
      <c r="AM14" s="1211">
        <f t="shared" si="3"/>
        <v>0</v>
      </c>
      <c r="AN14" s="1211">
        <f t="shared" si="3"/>
        <v>0</v>
      </c>
      <c r="AO14" s="1203">
        <f>IF(ISNUMBER(((NºAsuntos!I14/NºAsuntos!G14)*11)/factor_trimestre),((NºAsuntos!I14/NºAsuntos!G14)*11)/factor_trimestre," - ")</f>
        <v>10.159090909090908</v>
      </c>
      <c r="AP14" s="1213" t="str">
        <f>IF(ISNUMBER(Datos!CI14/Datos!CJ14),Datos!CI14/Datos!CJ14," - ")</f>
        <v xml:space="preserve"> - </v>
      </c>
      <c r="AQ14" s="1236">
        <f t="shared" ref="AQ14:AV14" si="4">SUBTOTAL(9,AQ9:AQ13)</f>
        <v>0</v>
      </c>
      <c r="AR14" s="1236">
        <f t="shared" si="4"/>
        <v>-0.81172839506172845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311</v>
      </c>
      <c r="G17" s="552">
        <f>IF(ISNUMBER(IF(D_I="SI",Datos!I17,Datos!I17+Datos!AC17)),IF(D_I="SI",Datos!I17,Datos!I17+Datos!AC17)," - ")</f>
        <v>311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277</v>
      </c>
      <c r="Z17" s="805">
        <f>IF(ISNUMBER(Datos!Q17),Datos!Q17," - ")</f>
        <v>1</v>
      </c>
      <c r="AA17" s="551">
        <f>IF(ISNUMBER(IF(D_I="SI",Datos!L17,Datos!L17+Datos!AF17)),IF(D_I="SI",Datos!L17,Datos!L17+Datos!AF17)," - ")</f>
        <v>426</v>
      </c>
      <c r="AB17" s="549"/>
      <c r="AC17" s="549"/>
      <c r="AD17" s="563"/>
      <c r="AE17" s="563">
        <f>IF(ISNUMBER(Datos!R17),Datos!R17," - ")</f>
        <v>47</v>
      </c>
      <c r="AF17" s="693" t="str">
        <f>IF(ISNUMBER(Datos!BV17),Datos!BV17," - ")</f>
        <v xml:space="preserve"> - </v>
      </c>
      <c r="AG17" s="552"/>
      <c r="AH17" s="553"/>
      <c r="AI17" s="554"/>
      <c r="AJ17" s="552">
        <f>IF(ISNUMBER(Datos!M17),Datos!M17," - ")</f>
        <v>33</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3.0758122743682317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72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6.2608695652173916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311</v>
      </c>
      <c r="G23" s="1197">
        <f>SUBTOTAL(9,G16:G22)</f>
        <v>374</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v>
      </c>
      <c r="Z23" s="1240">
        <f t="shared" si="6"/>
        <v>1</v>
      </c>
      <c r="AA23" s="1240">
        <f t="shared" si="6"/>
        <v>498</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35</v>
      </c>
      <c r="AK23" s="1240">
        <f t="shared" si="6"/>
        <v>206</v>
      </c>
      <c r="AL23" s="1240">
        <f t="shared" si="6"/>
        <v>0</v>
      </c>
      <c r="AM23" s="1240">
        <f t="shared" si="6"/>
        <v>0</v>
      </c>
      <c r="AN23" s="1240">
        <f t="shared" si="6"/>
        <v>0</v>
      </c>
      <c r="AO23" s="1242">
        <f>IF(ISNUMBER(((NºAsuntos!I23/NºAsuntos!G23)*11)/factor_trimestre),((NºAsuntos!I23/NºAsuntos!G23)*11)/factor_trimestre," - ")</f>
        <v>3.32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329</v>
      </c>
      <c r="G31" s="1117">
        <f t="shared" si="12"/>
        <v>392</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302</v>
      </c>
      <c r="Z31" s="1124">
        <f t="shared" si="13"/>
        <v>103</v>
      </c>
      <c r="AA31" s="1125">
        <f t="shared" si="13"/>
        <v>515</v>
      </c>
      <c r="AB31" s="1125">
        <f t="shared" si="13"/>
        <v>0</v>
      </c>
      <c r="AC31" s="1125">
        <f t="shared" si="13"/>
        <v>0</v>
      </c>
      <c r="AD31" s="1126">
        <f t="shared" si="13"/>
        <v>0</v>
      </c>
      <c r="AE31" s="1126">
        <f t="shared" si="13"/>
        <v>966</v>
      </c>
      <c r="AF31" s="1127">
        <f t="shared" si="13"/>
        <v>0</v>
      </c>
      <c r="AG31" s="1128">
        <f t="shared" si="13"/>
        <v>0</v>
      </c>
      <c r="AH31" s="1129">
        <f t="shared" si="13"/>
        <v>0</v>
      </c>
      <c r="AI31" s="1127">
        <f t="shared" si="13"/>
        <v>0</v>
      </c>
      <c r="AJ31" s="1117">
        <f t="shared" si="13"/>
        <v>79</v>
      </c>
      <c r="AK31" s="1117">
        <f t="shared" si="13"/>
        <v>270</v>
      </c>
      <c r="AL31" s="1117">
        <f t="shared" si="13"/>
        <v>0</v>
      </c>
      <c r="AM31" s="1130">
        <f t="shared" si="13"/>
        <v>0</v>
      </c>
      <c r="AN31" s="1120">
        <f>IF(ISNUMBER(Datos!K31/Datos!J31),Datos!K31/Datos!J31," - ")</f>
        <v>0.67514970059880242</v>
      </c>
      <c r="AO31" s="1120">
        <f>IF(ISNUMBER(FIND("06",Criterios!A8,1)),(IF(ISNUMBER(((Datos!R31/Datos!Q31)*11)/factor_trimestre),((Datos!R31/Datos!Q31)*11)/factor_trimestre," - ")),(IF(ISNUMBER(((Datos!L31/Datos!K31)*11)/factor_trimestre),((Datos!L31/Datos!K31)*11)/factor_trimestre," - ")))</f>
        <v>6.1419068736141904</v>
      </c>
      <c r="AP31" s="1131" t="str">
        <f>IF(ISNUMBER(Datos!CI31/Datos!CJ31),Datos!CI31/Datos!CJ31," - ")</f>
        <v xml:space="preserve"> - </v>
      </c>
      <c r="AQ31" s="1131">
        <f>IF(OR(ISNUMBER(FIND("01",Criterios!A8,1)),ISNUMBER(FIND("02",Criterios!A8,1)),ISNUMBER(FIND("03",Criterios!A8,1)),ISNUMBER(FIND("04",Criterios!A8,1))),(J31-Y31+K31)/(F31-K31),(I31-Y31+K31)/(F31-K31))</f>
        <v>-0.91793313069908811</v>
      </c>
      <c r="AR31" s="1131">
        <f>IF(ISNUMBER((Datos!P31-Datos!Q31+O31)/(Datos!R31-Datos!P31+Datos!Q31-O31)),(Datos!P31-Datos!Q31+O31)/(Datos!R31-Datos!P31+Datos!Q31-O31)," - ")</f>
        <v>-6.4859632139399812E-2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156.15974726755505</v>
      </c>
      <c r="G33" s="674">
        <f>IF(ISNUMBER(STDEV(G8:G30)),STDEV(G8:G30),"-")</f>
        <v>159.89892640873694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20.940391591371924</v>
      </c>
      <c r="AK33" s="276"/>
      <c r="AL33" s="276">
        <f>IF(ISNUMBER(STDEV(AL8:AL30)),STDEV(AL8:AL30),"-")</f>
        <v>0</v>
      </c>
      <c r="AM33" s="278">
        <f>IF(ISNUMBER(STDEV(AM8:AM30)),STDEV(AM8:AM30),"-")</f>
        <v>0</v>
      </c>
      <c r="AN33" s="660">
        <f>IF(ISNUMBER(STDEV(AN8:AN30)),STDEV(AN8:AN30),"-")</f>
        <v>0</v>
      </c>
      <c r="AO33" s="661">
        <f>IF(ISNUMBER(STDEV(AO8:AO30)),STDEV(AO8:AO30),"-")</f>
        <v>5.2643195737787103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Tzm60BMvaAbBnddFfS3JKOLpGH6qaeHWZ2WKHGiX1xGG5QPmv/2+bH+U4fgz5ryEwVvtRENKe45yfyYx2+IBQ==" saltValue="fItIfnlxveDqzfAwnJi0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Pwg8mbjhO8ckkumFKP19Z6iH1CF0wxu3ix8EpOz8jC87+Oui2oh25indgiGJR1A+joGha4NINBzya7hOMMrkw==" saltValue="EGUMI2YqJtxG2VF/6iha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3M8Cy3Yl0TlHc8ebI7pTPortVJ4nWCpquFCCF2Myt4hoxBkrhdh3DHPyhZcrt9NvIQO2FC06Tzcog4vBZUrQg==" saltValue="IMy8o4Nl/1vWv1KsljIm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LA SEU D'URGELL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pDk/pWzMxZKC6jjX2dx7idZrJ92h76xnoQljvl05DZfGPCK2y630D4uvvbXFHeoBz4z2hy9oAIbghxk/HVYzg==" saltValue="FfcH9zGwjXkzkBuL0rML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S7aDFht2hsUQB/Jxo/OtteeB5UueMU6q5me+yJQM/c20Ici6g76a7X5OUyPBQjUuQy5PoU94a57t93VGpWTuw==" saltValue="/613zzyWjrsbvJGJcZgo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LA SEU D'URGELL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v>
      </c>
      <c r="F10" s="452">
        <f>IF(ISNUMBER(E10/B10),E10/B10," - ")</f>
        <v>1</v>
      </c>
      <c r="G10" s="451">
        <f>IF(ISNUMBER(Datos!K10),Datos!K10," - ")</f>
        <v>2</v>
      </c>
      <c r="H10" s="452">
        <f>IF(ISNUMBER(G10/B10),G10/B10," - ")</f>
        <v>2</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799</v>
      </c>
      <c r="D12" s="452">
        <f>IF(ISNUMBER(C12/Datos!BH12),C12/Datos!BH12," - ")</f>
        <v>399.5</v>
      </c>
      <c r="E12" s="451">
        <f>IF(ISNUMBER(IF(J_V="SI",Datos!J12,Datos!J12+Datos!Z12)),IF(J_V="SI",Datos!J12,Datos!J12+Datos!Z12)," - ")</f>
        <v>252</v>
      </c>
      <c r="F12" s="452">
        <f>IF(ISNUMBER(E12/B12),E12/B12," - ")</f>
        <v>126</v>
      </c>
      <c r="G12" s="451">
        <f>IF(ISNUMBER(IF(J_V="SI",Datos!K12,Datos!K12+Datos!AA12)),IF(J_V="SI",Datos!K12,Datos!K12+Datos!AA12)," - ")</f>
        <v>174</v>
      </c>
      <c r="H12" s="452">
        <f>IF(ISNUMBER(G12/B12),G12/B12," - ")</f>
        <v>87</v>
      </c>
      <c r="I12" s="451">
        <f>IF(ISNUMBER(IF(J_V="SI",Datos!L12,Datos!L12+Datos!AB12)),IF(J_V="SI",Datos!L12,Datos!L12+Datos!AB12)," - ")</f>
        <v>877</v>
      </c>
      <c r="J12" s="452">
        <f>IF(ISNUMBER(I12/B12),I12/B12," - ")</f>
        <v>438.5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817</v>
      </c>
      <c r="D14" s="1147" t="str">
        <f>IF(ISNUMBER(C14/Datos!BI14),C14/Datos!BI14," - ")</f>
        <v xml:space="preserve"> - </v>
      </c>
      <c r="E14" s="1146">
        <f>SUBTOTAL(9,E8:E13)</f>
        <v>253</v>
      </c>
      <c r="F14" s="1147">
        <f>IF(ISNUMBER(E14/B14),E14/B14," - ")</f>
        <v>126.5</v>
      </c>
      <c r="G14" s="1146">
        <f>SUBTOTAL(9,G8:G13)</f>
        <v>176</v>
      </c>
      <c r="H14" s="1147">
        <f>IF(ISNUMBER(G14/B14),G14/B14," - ")</f>
        <v>88</v>
      </c>
      <c r="I14" s="1146">
        <f>SUBTOTAL(9,I8:I13)</f>
        <v>894</v>
      </c>
      <c r="J14" s="1147">
        <f>IF(ISNUMBER(I14/B14),I14/B14," - ")</f>
        <v>447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311</v>
      </c>
      <c r="D17" s="452">
        <f>IF(ISNUMBER(C17/Datos!BH17),C17/Datos!BH17," - ")</f>
        <v>155.5</v>
      </c>
      <c r="E17" s="451">
        <f>IF(ISNUMBER(IF(D_I="SI",Datos!J17,Datos!J17+Datos!AD17)),IF(D_I="SI",Datos!J17,Datos!J17+Datos!AD17)," - ")</f>
        <v>392</v>
      </c>
      <c r="F17" s="452">
        <f>IF(ISNUMBER(E17/B17),E17/B17," - ")</f>
        <v>196</v>
      </c>
      <c r="G17" s="451">
        <f>IF(ISNUMBER(IF(D_I="SI",Datos!K17,Datos!K17+Datos!AE17)),IF(D_I="SI",Datos!K17,Datos!K17+Datos!AE17)," - ")</f>
        <v>277</v>
      </c>
      <c r="H17" s="452">
        <f>IF(ISNUMBER(G17/B17),G17/B17," - ")</f>
        <v>138.5</v>
      </c>
      <c r="I17" s="451">
        <f>IF(ISNUMBER(IF(D_I="SI",Datos!L17,Datos!L17+Datos!AF17)),IF(D_I="SI",Datos!L17,Datos!L17+Datos!AF17)," - ")</f>
        <v>426</v>
      </c>
      <c r="J17" s="452">
        <f>IF(ISNUMBER(I17/B17),I17/B17," - ")</f>
        <v>213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32</v>
      </c>
      <c r="F18" s="452">
        <f>IF(ISNUMBER(E18/B18),E18/B18," - ")</f>
        <v>32</v>
      </c>
      <c r="G18" s="451">
        <f>IF(ISNUMBER(IF(D_I="SI",Datos!K18,Datos!K18+Datos!AE18)),IF(D_I="SI",Datos!K18,Datos!K18+Datos!AE18)," - ")</f>
        <v>23</v>
      </c>
      <c r="H18" s="452">
        <f>IF(ISNUMBER(G18/B18),G18/B18," - ")</f>
        <v>23</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374</v>
      </c>
      <c r="D23" s="1147" t="str">
        <f>IF(ISNUMBER(C23/Datos!BI23),C23/Datos!BI23," - ")</f>
        <v xml:space="preserve"> - </v>
      </c>
      <c r="E23" s="1146">
        <f>SUBTOTAL(9,E15:E22)</f>
        <v>424</v>
      </c>
      <c r="F23" s="1147">
        <f>IF(ISNUMBER(E23/B23),E23/B23," - ")</f>
        <v>212</v>
      </c>
      <c r="G23" s="1146">
        <f>SUBTOTAL(9,G15:G22)</f>
        <v>300</v>
      </c>
      <c r="H23" s="1147">
        <f>IF(ISNUMBER(G23/B23),G23/B23," - ")</f>
        <v>150</v>
      </c>
      <c r="I23" s="1146">
        <f>SUBTOTAL(9,I15:I22)</f>
        <v>498</v>
      </c>
      <c r="J23" s="1147">
        <f>IF(ISNUMBER(I23/B23),I23/B23," - ")</f>
        <v>249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1191</v>
      </c>
      <c r="D31" s="1085" t="str">
        <f>IF(ISNUMBER(C31/Datos!BI31),C31/Datos!BI31," - ")</f>
        <v xml:space="preserve"> - </v>
      </c>
      <c r="E31" s="1084">
        <f>SUBTOTAL(9,E9:E30)</f>
        <v>677</v>
      </c>
      <c r="F31" s="1085">
        <f>IF(ISNUMBER(E31/B31),E31/B31," - ")</f>
        <v>338.5</v>
      </c>
      <c r="G31" s="1084">
        <f>SUBTOTAL(9,G9:G30)</f>
        <v>476</v>
      </c>
      <c r="H31" s="1085">
        <f>IF(ISNUMBER(G31/B31),G31/B31," - ")</f>
        <v>238</v>
      </c>
      <c r="I31" s="1084">
        <f>SUBTOTAL(9,I9:I30)</f>
        <v>1392</v>
      </c>
      <c r="J31" s="1085">
        <f>IF(ISNUMBER(I31/B31),I31/B31," - ")</f>
        <v>696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StjOhSWu7W8S4488l9C+uLvF2VJcZhSGBTF25wtsjVat/LygzpTXmJNneDYkoV493mrgFSBPqX1b6xGvanosA==" saltValue="4zVdZ2f/AWF19q2J/BwN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LA SEU D'URGELL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10.080459770114942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-6.1728395061728392E-2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93</v>
      </c>
      <c r="AE14" s="1257">
        <f t="shared" si="1"/>
        <v>0</v>
      </c>
      <c r="AF14" s="1257">
        <f t="shared" si="1"/>
        <v>17</v>
      </c>
      <c r="AG14" s="1257">
        <f t="shared" si="1"/>
        <v>0</v>
      </c>
      <c r="AH14" s="1257">
        <f t="shared" si="1"/>
        <v>912</v>
      </c>
      <c r="AI14" s="1257">
        <f t="shared" si="1"/>
        <v>0</v>
      </c>
      <c r="AJ14" s="1257">
        <f t="shared" si="1"/>
        <v>0</v>
      </c>
      <c r="AK14" s="1257">
        <f t="shared" si="1"/>
        <v>0</v>
      </c>
      <c r="AL14" s="1257">
        <f t="shared" si="1"/>
        <v>44</v>
      </c>
      <c r="AM14" s="1257">
        <f t="shared" si="1"/>
        <v>64</v>
      </c>
      <c r="AN14" s="1257">
        <f t="shared" si="1"/>
        <v>0</v>
      </c>
      <c r="AO14" s="1257">
        <f t="shared" si="1"/>
        <v>0</v>
      </c>
      <c r="AP14" s="1262">
        <f>IF(ISNUMBER(((Datos!L14/Datos!K14)*11)/factor_trimestre),((Datos!L14/Datos!K14)*11)/factor_trimestre," - ")</f>
        <v>11.748344370860927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-0.1111111111111111</v>
      </c>
      <c r="AU14" s="1257" t="str">
        <f>IF(ISNUMBER((DatosP!#REF!-DatosP!#REF!+DatosP!#REF!)/(DatosP!#REF!+DatosP!#REF!-DatosP!#REF!-DatosP!#REF!)),(DatosP!#REF!-DatosP!#REF!+DatosP!#REF!)/(DatosP!#REF!+DatosP!#REF!-DatosP!#REF!-DatosP!#REF!)," - ")</f>
        <v xml:space="preserve"> - </v>
      </c>
      <c r="AV14" s="1263">
        <f>SUBTOTAL(9,AV9:AV13)</f>
        <v>-6.1728395061728392E-2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3.32</v>
      </c>
      <c r="AQ23" s="1262">
        <f>IF(ISNUMBER(((Datos!M23/Datos!L23)*11)/factor_trimestre),((Datos!M23/Datos!L23)*11)/factor_trimestre," - ")</f>
        <v>0.14056224899598393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4.0816326530612242E-2</v>
      </c>
      <c r="AW23" s="1265">
        <f>IF(ISNUMBER((Datos!Q23-Datos!R23)/(Datos!S23-Datos!Q23+Datos!R23)),(Datos!Q23-Datos!R23)/(Datos!S23-Datos!Q23+Datos!R23)," - ")</f>
        <v>-0.16611295681063123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93</v>
      </c>
      <c r="AE31" s="1284">
        <f t="shared" si="9"/>
        <v>0</v>
      </c>
      <c r="AF31" s="1285">
        <f t="shared" si="9"/>
        <v>17</v>
      </c>
      <c r="AG31" s="1285">
        <f t="shared" si="9"/>
        <v>0</v>
      </c>
      <c r="AH31" s="1285">
        <f t="shared" si="9"/>
        <v>912</v>
      </c>
      <c r="AI31" s="1285">
        <f t="shared" si="9"/>
        <v>0</v>
      </c>
      <c r="AJ31" s="1286">
        <f t="shared" si="9"/>
        <v>0</v>
      </c>
      <c r="AK31" s="1286">
        <f t="shared" si="9"/>
        <v>0</v>
      </c>
      <c r="AL31" s="1278">
        <f t="shared" si="9"/>
        <v>44</v>
      </c>
      <c r="AM31" s="1278">
        <f t="shared" si="9"/>
        <v>64</v>
      </c>
      <c r="AN31" s="1278">
        <f t="shared" si="9"/>
        <v>0</v>
      </c>
      <c r="AO31" s="1278">
        <f t="shared" si="9"/>
        <v>0</v>
      </c>
      <c r="AP31" s="1278">
        <f>IF(ISNUMBER(((Datos!L31/Datos!K31)*11)/factor_trimestre),((Datos!L31/Datos!K31)*11)/factor_trimestre," - ")</f>
        <v>6.1419068736141904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-0.1111111111111111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-6.4859632139399812E-2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22.721502297750177</v>
      </c>
      <c r="AM33" s="1006"/>
      <c r="AN33" s="1006">
        <f>IF(ISNUMBER(STDEV(AN8:AN30)),STDEV(AN8:AN30),"-")</f>
        <v>0</v>
      </c>
      <c r="AO33" s="1012">
        <f>IF(ISNUMBER(STDEV(AO8:AO30)),STDEV(AO8:AO30),"-")</f>
        <v>0</v>
      </c>
      <c r="AP33" s="1065">
        <f>IF(ISNUMBER(STDEV(AP8:AP30)),STDEV(AP8:AP30),"-")</f>
        <v>5.6430264340056393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I3/XPde5JzROxqcby1PtAJSR0iDY5+H8OT55DkLioj2fT1H0Dkq6j2CzBHoOkFEoRUR2EUdsrhc28vJfjb6zw==" saltValue="cTFA8GiMUlA35FpQXaqu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LA SEU D'URGELL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AzNyy2zixvueFBNj/0uUmBA97nZD0dJyfJ0H0UBXVyrZ9izyT32DXWlBuz49yrly6KEPA9vtqVybGiwb11CRA==" saltValue="6Ra6jRK+4wufvG3SQolA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LA SEU D'URGELL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63</v>
      </c>
      <c r="G12" s="452">
        <f t="shared" si="1"/>
        <v>31.5</v>
      </c>
      <c r="H12" s="451">
        <f>IF(ISNUMBER(Datos!O12),Datos!O12," - ")</f>
        <v>82</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44</v>
      </c>
      <c r="E14" s="1147">
        <f t="shared" si="0"/>
        <v>14.666666666666666</v>
      </c>
      <c r="F14" s="1146">
        <f>SUBTOTAL(9,F9:F13)</f>
        <v>64</v>
      </c>
      <c r="G14" s="1147">
        <f t="shared" si="1"/>
        <v>21.333333333333332</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196</v>
      </c>
      <c r="G17" s="452">
        <f t="shared" si="4"/>
        <v>98</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206</v>
      </c>
      <c r="G23" s="1147">
        <f t="shared" si="4"/>
        <v>68.666666666666671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79</v>
      </c>
      <c r="E31" s="1085">
        <f>IF(ISNUMBER(D31/B31),D31/B31," - ")</f>
        <v>39.5</v>
      </c>
      <c r="F31" s="1084">
        <f>SUBTOTAL(9,F8:F30)</f>
        <v>270</v>
      </c>
      <c r="G31" s="1085">
        <f>IF(ISNUMBER(F31/B31),F31/B31," - ")</f>
        <v>135</v>
      </c>
      <c r="H31" s="1084">
        <f>SUBTOTAL(9,H8:H30)</f>
        <v>82</v>
      </c>
      <c r="I31" s="1085">
        <f>IF(ISNUMBER(H31/B31),H31/B31," - ")</f>
        <v>41</v>
      </c>
    </row>
    <row r="34" spans="1:1">
      <c r="A34" s="439" t="str">
        <f>Criterios!A4</f>
        <v>Fecha Informe: 06 may. 2023</v>
      </c>
    </row>
    <row r="39" spans="1:1">
      <c r="A39" s="462"/>
    </row>
  </sheetData>
  <sheetProtection algorithmName="SHA-512" hashValue="gsgpOZLhnfm6iGJ0EO2nqoEVhIb1QHdCqGzkb2WOcP1HZhsDpLFEkMdxuQbNay1WBfKg7eIhtq7Al6X5MJScyw==" saltValue="0T10FzglBeWo6BI+pJMX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LA SEU D'URGELL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9</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93</v>
      </c>
      <c r="D12" s="456">
        <f>IF(ISNUMBER(Datos!R12),Datos!R12," - ")</f>
        <v>912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v>
      </c>
      <c r="C14" s="1150">
        <f>SUBTOTAL(9,C9:C13)</f>
        <v>102</v>
      </c>
      <c r="D14" s="1148">
        <f>SUBTOTAL(9,D9:D13)</f>
        <v>915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47</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103</v>
      </c>
      <c r="D31" s="1090">
        <f>SUBTOTAL(9,D8:D30)</f>
        <v>966</v>
      </c>
    </row>
    <row r="32" spans="1:4" ht="7.5" customHeight="1"/>
    <row r="33" spans="1:1" ht="6" customHeight="1"/>
    <row r="34" spans="1:1">
      <c r="A34" s="439" t="str">
        <f>Criterios!A4</f>
        <v>Fecha Informe: 06 may. 2023</v>
      </c>
    </row>
    <row r="39" spans="1:1">
      <c r="A39" s="462"/>
    </row>
  </sheetData>
  <sheetProtection algorithmName="SHA-512" hashValue="xqCMjRA0DDBOHbWjjqQenw/Mij1Fmb5cbfiC57591ejMl7bBwJdz8hvbmdOs2auYMuOoTJjtwhmdnuDsx18pIg==" saltValue="QsuKAK82KjMGz2QKJj3g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LA SEU D'URGELL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-0.8</v>
      </c>
      <c r="D10" s="515">
        <f>IF(ISNUMBER((Datos!K10-Datos!U10)/Datos!U10),(Datos!K10-Datos!U10)/Datos!U10," - ")</f>
        <v>-0.33333333333333331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2.3333333333333335</v>
      </c>
      <c r="I10" s="515">
        <f>IF(ISNUMBER(((NºAsuntos!I10/NºAsuntos!G10)-Datos!BE10)/Datos!BE10),((NºAsuntos!I10/NºAsuntos!G10)-Datos!BE10)/Datos!BE10," - ")</f>
        <v>0.49999999999999994</v>
      </c>
      <c r="J10" s="521">
        <f>IF(ISNUMBER((('Resol  Asuntos'!D10/NºAsuntos!G10)-Datos!BF10)/Datos!BF10),(('Resol  Asuntos'!D10/NºAsuntos!G10)-Datos!BF10)/Datos!BF10," - ")</f>
        <v>-1</v>
      </c>
      <c r="K10" s="522">
        <f>IF(ISNUMBER((((NºAsuntos!C10+NºAsuntos!E10)/NºAsuntos!G10)-Datos!BG10)/Datos!BG10),(((NºAsuntos!C10+NºAsuntos!E10)/NºAsuntos!G10)-Datos!BG10)/Datos!BG10," - ")</f>
        <v>0.42499999999999993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-2.2031823745410038E-2</v>
      </c>
      <c r="C12" s="515">
        <f>IF(ISNUMBER(
   IF(J_V="SI",(Datos!J12-Datos!T12)/Datos!T12,(Datos!J12+Datos!Z12-(Datos!T12+Datos!AH12))/(Datos!T12+Datos!AH12))
     ),IF(J_V="SI",(Datos!J12-Datos!T12)/Datos!T12,(Datos!J12+Datos!Z12-(Datos!T12+Datos!AH12))/(Datos!T12+Datos!AH12))," - ")</f>
        <v>0.29230769230769232</v>
      </c>
      <c r="D12" s="515">
        <f>IF(ISNUMBER(
   IF(J_V="SI",(Datos!K12-Datos!U12)/Datos!U12,(Datos!K12+Datos!AA12-(Datos!U12+Datos!AI12))/(Datos!U12+Datos!AI12))
     ),IF(J_V="SI",(Datos!K12-Datos!U12)/Datos!U12,(Datos!K12+Datos!AA12-(Datos!U12+Datos!AI12))/(Datos!U12+Datos!AI12))," - ")</f>
        <v>-9.375E-2</v>
      </c>
      <c r="E12" s="515">
        <f>IF(ISNUMBER(
   IF(J_V="SI",(Datos!L12-Datos!V12)/Datos!V12,(Datos!L12+Datos!AB12-(Datos!V12+Datos!AJ12))/(Datos!V12+Datos!AJ12))
     ),IF(J_V="SI",(Datos!L12-Datos!V12)/Datos!V12,(Datos!L12+Datos!AB12-(Datos!V12+Datos!AJ12))/(Datos!V12+Datos!AJ12))," - ")</f>
        <v>6.9512195121951226E-2</v>
      </c>
      <c r="F12" s="515">
        <f>IF(ISNUMBER((Datos!M12-Datos!W12)/Datos!W12),(Datos!M12-Datos!W12)/Datos!W12," - ")</f>
        <v>0.46666666666666667</v>
      </c>
      <c r="G12" s="516">
        <f>IF(ISNUMBER((Datos!N12-Datos!X12)/Datos!X12),(Datos!N12-Datos!X12)/Datos!X12," - ")</f>
        <v>-0.20253164556962025</v>
      </c>
      <c r="H12" s="514">
        <f>IF(ISNUMBER(((NºAsuntos!G12/NºAsuntos!E12)-Datos!BD12)/Datos!BD12),((NºAsuntos!G12/NºAsuntos!E12)-Datos!BD12)/Datos!BD12," - ")</f>
        <v>-0.29873511904761912</v>
      </c>
      <c r="I12" s="515">
        <f>IF(ISNUMBER(((NºAsuntos!I12/NºAsuntos!G12)-Datos!BE12)/Datos!BE12),((NºAsuntos!I12/NºAsuntos!G12)-Datos!BE12)/Datos!BE12," - ")</f>
        <v>0.18015138772077377</v>
      </c>
      <c r="J12" s="521">
        <f>IF(ISNUMBER((('Resol  Asuntos'!D12/NºAsuntos!G12)-Datos!BF12)/Datos!BF12),(('Resol  Asuntos'!D12/NºAsuntos!G12)-Datos!BF12)/Datos!BF12," - ")</f>
        <v>-0.38542121344391089</v>
      </c>
      <c r="K12" s="522">
        <f>IF(ISNUMBER((((NºAsuntos!C12+NºAsuntos!E12)/NºAsuntos!G12)-Datos!BG12)/Datos!BG12),(((NºAsuntos!C12+NºAsuntos!E12)/NºAsuntos!G12)-Datos!BG12)/Datos!BG12," - ")</f>
        <v>0.1459724683112989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-1.8028846153846152E-2</v>
      </c>
      <c r="C14" s="1152">
        <f>IF(ISNUMBER(
   IF(J_V="SI",(Datos!J14-Datos!T14)/Datos!T14,(Datos!J14+Datos!Z14-(Datos!T14+Datos!AH14))/(Datos!T14+Datos!AH14))
     ),IF(J_V="SI",(Datos!J14-Datos!T14)/Datos!T14,(Datos!J14+Datos!Z14-(Datos!T14+Datos!AH14))/(Datos!T14+Datos!AH14))," - ")</f>
        <v>0.26500000000000001</v>
      </c>
      <c r="D14" s="1152">
        <f>IF(ISNUMBER(
   IF(J_V="SI",(Datos!K14-Datos!U14)/Datos!U14,(Datos!K14+Datos!AA14-(Datos!U14+Datos!AI14))/(Datos!U14+Datos!AI14))
     ),IF(J_V="SI",(Datos!K14-Datos!U14)/Datos!U14,(Datos!K14+Datos!AA14-(Datos!U14+Datos!AI14))/(Datos!U14+Datos!AI14))," - ")</f>
        <v>-9.7435897435897437E-2</v>
      </c>
      <c r="E14" s="1152">
        <f>IF(ISNUMBER(
   IF(J_V="SI",(Datos!L14-Datos!V14)/Datos!V14,(Datos!L14+Datos!AB14-(Datos!V14+Datos!AJ14))/(Datos!V14+Datos!AJ14))
     ),IF(J_V="SI",(Datos!L14-Datos!V14)/Datos!V14,(Datos!L14+Datos!AB14-(Datos!V14+Datos!AJ14))/(Datos!V14+Datos!AJ14))," - ")</f>
        <v>6.8100358422939072E-2</v>
      </c>
      <c r="F14" s="1153">
        <f>IF(ISNUMBER((Datos!M14-Datos!W14)/Datos!W14),(Datos!M14-Datos!W14)/Datos!W14," - ")</f>
        <v>0.375</v>
      </c>
      <c r="G14" s="1154">
        <f>IF(ISNUMBER((Datos!N14-Datos!X14)/Datos!X14),(Datos!N14-Datos!X14)/Datos!X14," - ")</f>
        <v>-0.189873417721519</v>
      </c>
      <c r="H14" s="1154">
        <f>IF(ISNUMBER(((NºAsuntos!G14/NºAsuntos!E14)-Datos!BD14)/Datos!BD14),((NºAsuntos!G14/NºAsuntos!E14)-Datos!BD14)/Datos!BD14," - ")</f>
        <v>-0.28651059085841696</v>
      </c>
      <c r="I14" s="1154">
        <f>IF(ISNUMBER(((NºAsuntos!I14/NºAsuntos!G14)-Datos!BE14)/Datos!BE14),((NºAsuntos!I14/NºAsuntos!G14)-Datos!BE14)/Datos!BE14," - ")</f>
        <v>0.18340664711632448</v>
      </c>
      <c r="J14" s="1154">
        <f>IF(ISNUMBER((('Resol  Asuntos'!D14/NºAsuntos!G14)-Datos!BF14)/Datos!BF14),(('Resol  Asuntos'!D14/NºAsuntos!G14)-Datos!BF14)/Datos!BF14," - ")</f>
        <v>-0.3981481481481482</v>
      </c>
      <c r="K14" s="1154">
        <f>IF(ISNUMBER((((NºAsuntos!C14+NºAsuntos!E14)/NºAsuntos!G14)-Datos!BG14)/Datos!BG14),(((NºAsuntos!C14+NºAsuntos!E14)/NºAsuntos!G14)-Datos!BG14)/Datos!BG14," - ")</f>
        <v>0.14875132135306549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0.37004405286343611</v>
      </c>
      <c r="C17" s="515">
        <f>IF(ISNUMBER(
   IF(D_I="SI",(Datos!J17-Datos!T17)/Datos!T17,(Datos!J17+Datos!AD17-(Datos!T17+Datos!AL17))/(Datos!T17+Datos!AL17))
     ),IF(D_I="SI",(Datos!J17-Datos!T17)/Datos!T17,(Datos!J17+Datos!AD17-(Datos!T17+Datos!AL17))/(Datos!T17+Datos!AL17))," - ")</f>
        <v>0.22500000000000001</v>
      </c>
      <c r="D17" s="515">
        <f>IF(ISNUMBER(
   IF(D_I="SI",(Datos!K17-Datos!U17)/Datos!U17,(Datos!K17+Datos!AE17-(Datos!U17+Datos!AM17))/(Datos!U17+Datos!AM17))
     ),IF(D_I="SI",(Datos!K17-Datos!U17)/Datos!U17,(Datos!K17+Datos!AE17-(Datos!U17+Datos!AM17))/(Datos!U17+Datos!AM17))," - ")</f>
        <v>-0.1178343949044586</v>
      </c>
      <c r="E17" s="515">
        <f>IF(ISNUMBER(
   IF(D_I="SI",(Datos!L17-Datos!V17)/Datos!V17,(Datos!L17+Datos!AF17-(Datos!V17+Datos!AN17))/(Datos!V17+Datos!AN17))
     ),IF(D_I="SI",(Datos!L17-Datos!V17)/Datos!V17,(Datos!L17+Datos!AF17-(Datos!V17+Datos!AN17))/(Datos!V17+Datos!AN17))," - ")</f>
        <v>0.80508474576271183</v>
      </c>
      <c r="F17" s="515">
        <f>IF(ISNUMBER((Datos!M17-Datos!W17)/Datos!W17),(Datos!M17-Datos!W17)/Datos!W17," - ")</f>
        <v>0</v>
      </c>
      <c r="G17" s="516">
        <f>IF(ISNUMBER((Datos!N17-Datos!X17)/Datos!X17),(Datos!N17-Datos!X17)/Datos!X17," - ")</f>
        <v>-8.4112149532710276E-2</v>
      </c>
      <c r="H17" s="514">
        <f>IF(ISNUMBER(((NºAsuntos!G17/NºAsuntos!E17)-Datos!BD17)/Datos!BD17),((NºAsuntos!G17/NºAsuntos!E17)-Datos!BD17)/Datos!BD17," - ")</f>
        <v>-0.27986481216690495</v>
      </c>
      <c r="I17" s="515">
        <f>IF(ISNUMBER(((NºAsuntos!I17/NºAsuntos!G17)-Datos!BE17)/Datos!BE17),((NºAsuntos!I17/NºAsuntos!G17)-Datos!BE17)/Datos!BE17," - ")</f>
        <v>1.0461971486263231</v>
      </c>
      <c r="J17" s="521">
        <f>IF(ISNUMBER((('Resol  Asuntos'!D17/NºAsuntos!G17)-Datos!BF17)/Datos!BF17),(('Resol  Asuntos'!D17/NºAsuntos!G17)-Datos!BF17)/Datos!BF17," - ")</f>
        <v>0.13357400722021656</v>
      </c>
      <c r="K17" s="522">
        <f>IF(ISNUMBER((((NºAsuntos!C17+NºAsuntos!E17)/NºAsuntos!G17)-Datos!BG17)/Datos!BG17),(((NºAsuntos!C17+NºAsuntos!E17)/NºAsuntos!G17)-Datos!BG17)/Datos!BG17," - ")</f>
        <v>0.45686019575102804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1.625</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-0.11538461538461539</v>
      </c>
      <c r="E18" s="515">
        <f>IF(ISNUMBER(
   IF(D_I="SI",(Datos!L18-Datos!V18)/Datos!V18,(Datos!L18+Datos!AF18-(Datos!V18+Datos!AN18))/(Datos!V18+Datos!AN18))
     ),IF(D_I="SI",(Datos!L18-Datos!V18)/Datos!V18,(Datos!L18+Datos!AF18-(Datos!V18+Datos!AN18))/(Datos!V18+Datos!AN18))," - ")</f>
        <v>1.25</v>
      </c>
      <c r="F18" s="515">
        <f>IF(ISNUMBER((Datos!M18-Datos!W18)/Datos!W18),(Datos!M18-Datos!W18)/Datos!W18," - ")</f>
        <v>-0.66666666666666663</v>
      </c>
      <c r="G18" s="516">
        <f>IF(ISNUMBER((Datos!N18-Datos!X18)/Datos!X18),(Datos!N18-Datos!X18)/Datos!X18," - ")</f>
        <v>0.1111111111111111</v>
      </c>
      <c r="H18" s="514">
        <f>IF(ISNUMBER(((NºAsuntos!G18/NºAsuntos!E18)-Datos!BD18)/Datos!BD18),((NºAsuntos!G18/NºAsuntos!E18)-Datos!BD18)/Datos!BD18," - ")</f>
        <v>-6.0096153846153785E-2</v>
      </c>
      <c r="I18" s="515">
        <f>IF(ISNUMBER(((NºAsuntos!I18/NºAsuntos!G18)-Datos!BE18)/Datos!BE18),((NºAsuntos!I18/NºAsuntos!G18)-Datos!BE18)/Datos!BE18," - ")</f>
        <v>1.5434782608695652</v>
      </c>
      <c r="J18" s="521">
        <f>IF(ISNUMBER((('Resol  Asuntos'!D18/NºAsuntos!G18)-Datos!BF18)/Datos!BF18),(('Resol  Asuntos'!D18/NºAsuntos!G18)-Datos!BF18)/Datos!BF18," - ")</f>
        <v>-0.62318840579710144</v>
      </c>
      <c r="K18" s="522">
        <f>IF(ISNUMBER((((NºAsuntos!C18+NºAsuntos!E18)/NºAsuntos!G18)-Datos!BG18)/Datos!BG18),(((NºAsuntos!C18+NºAsuntos!E18)/NºAsuntos!G18)-Datos!BG18)/Datos!BG18," - ")</f>
        <v>0.85157421289355306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0.49003984063745021</v>
      </c>
      <c r="C23" s="1152">
        <f>IF(ISNUMBER(
   IF(Criterios!B14="SI",(Datos!J23-Datos!T23)/Datos!T23,(Datos!J23+Datos!AD23-(Datos!T23+Datos!AL23))/(Datos!T23+Datos!AL23))
     ),IF(Criterios!B14="SI",(Datos!J23-Datos!T23)/Datos!T23,(Datos!J23+Datos!AD23-(Datos!T23+Datos!AL23))/(Datos!T23+Datos!AL23))," - ")</f>
        <v>0.19774011299435029</v>
      </c>
      <c r="D23" s="1152">
        <f>IF(ISNUMBER(
   IF(Criterios!B14="SI",(Datos!K23-Datos!U23)/Datos!U23,(Datos!K23+Datos!AE23-(Datos!U23+Datos!AM23))/(Datos!U23+Datos!AM23))
     ),IF(Criterios!B14="SI",(Datos!K23-Datos!U23)/Datos!U23,(Datos!K23+Datos!AE23-(Datos!U23+Datos!AM23))/(Datos!U23+Datos!AM23))," - ")</f>
        <v>-0.11764705882352941</v>
      </c>
      <c r="E23" s="1152">
        <f>IF(ISNUMBER(
   IF(Criterios!B14="SI",(Datos!L23-Datos!V23)/Datos!V23,(Datos!L23+Datos!AF23-(Datos!V23+Datos!AN23))/(Datos!V23+Datos!AN23))
     ),IF(Criterios!B14="SI",(Datos!L23-Datos!V23)/Datos!V23,(Datos!L23+Datos!AF23-(Datos!V23+Datos!AN23))/(Datos!V23+Datos!AN23))," - ")</f>
        <v>0.85820895522388063</v>
      </c>
      <c r="F23" s="1153">
        <f>IF(ISNUMBER((Datos!M23-Datos!W23)/Datos!W23),(Datos!M23-Datos!W23)/Datos!W23," - ")</f>
        <v>-0.10256410256410256</v>
      </c>
      <c r="G23" s="1154">
        <f>IF(ISNUMBER((Datos!N23-Datos!X23)/Datos!X23),(Datos!N23-Datos!X23)/Datos!X23," - ")</f>
        <v>-7.623318385650224E-2</v>
      </c>
      <c r="H23" s="1154">
        <f>IF(ISNUMBER(((NºAsuntos!G23/NºAsuntos!E23)-Datos!BD23)/Datos!BD23),((NºAsuntos!G23/NºAsuntos!E23)-Datos!BD23)/Datos!BD23," - ")</f>
        <v>-0.26331853496115437</v>
      </c>
      <c r="I23" s="1154">
        <f>IF(ISNUMBER(((NºAsuntos!I23/NºAsuntos!G23)-Datos!BE23)/Datos!BE23),((NºAsuntos!I23/NºAsuntos!G23)-Datos!BE23)/Datos!BE23," - ")</f>
        <v>1.1059701492537313</v>
      </c>
      <c r="J23" s="1154">
        <f>IF(ISNUMBER((('Resol  Asuntos'!D23/NºAsuntos!G23)-Datos!BF23)/Datos!BF23),(('Resol  Asuntos'!D23/NºAsuntos!G23)-Datos!BF23)/Datos!BF23," - ")</f>
        <v>1.7094017094017155E-2</v>
      </c>
      <c r="K23" s="1154">
        <f>IF(ISNUMBER((((NºAsuntos!C23+NºAsuntos!E23)/NºAsuntos!G23)-Datos!BG23)/Datos!BG23),(((NºAsuntos!C23+NºAsuntos!E23)/NºAsuntos!G23)-Datos!BG23)/Datos!BG23," - ")</f>
        <v>0.49487603305785138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9.9722991689750698E-2</v>
      </c>
      <c r="C31" s="1092">
        <f>IF(ISNUMBER(
   IF(J_V="SI",(Datos!J31-Datos!T31)/Datos!T31,(Datos!J31+Datos!Z31-(Datos!T31+Datos!AH31))/(Datos!T31+Datos!AH31))
     ),IF(J_V="SI",(Datos!J31-Datos!T31)/Datos!T31,(Datos!J31+Datos!Z31-(Datos!T31+Datos!AH31))/(Datos!T31+Datos!AH31))," - ")</f>
        <v>0.22202166064981949</v>
      </c>
      <c r="D31" s="1092">
        <f>IF(ISNUMBER(
   IF(J_V="SI",(Datos!K31-Datos!U31)/Datos!U31,(Datos!K31+Datos!AA31-(Datos!U31+Datos!AI31))/(Datos!U31+Datos!AI31))
     ),IF(J_V="SI",(Datos!K31-Datos!U31)/Datos!U31,(Datos!K31+Datos!AA31-(Datos!U31+Datos!AI31))/(Datos!U31+Datos!AI31))," - ")</f>
        <v>-0.1102803738317757</v>
      </c>
      <c r="E31" s="1092">
        <f>IF(ISNUMBER(
   IF(J_V="SI",(Datos!L31-Datos!V31)/Datos!V31,(Datos!L31+Datos!AB31-(Datos!V31+Datos!AJ31))/(Datos!V31+Datos!AJ31))
     ),IF(J_V="SI",(Datos!L31-Datos!V31)/Datos!V31,(Datos!L31+Datos!AB31-(Datos!V31+Datos!AJ31))/(Datos!V31+Datos!AJ31))," - ")</f>
        <v>0.25972850678733034</v>
      </c>
      <c r="F31" s="1093">
        <f>IF(ISNUMBER((Datos!M31-Datos!W31)/Datos!W31),(Datos!M31-Datos!W31)/Datos!W31," - ")</f>
        <v>0.11267605633802817</v>
      </c>
      <c r="G31" s="1094">
        <f>IF(ISNUMBER((Datos!N31-Datos!X31)/Datos!X31),(Datos!N31-Datos!X31)/Datos!X31," - ")</f>
        <v>-0.10596026490066225</v>
      </c>
      <c r="H31" s="1095">
        <f>IF(ISNUMBER((Tasas!B31-Datos!BD31)/Datos!BD31),(Tasas!B31-Datos!BD31)/Datos!BD31," - ")</f>
        <v>-0.27192810502629794</v>
      </c>
      <c r="I31" s="1096">
        <f>IF(ISNUMBER((Tasas!C31-Datos!BE31)/Datos!BE31),(Tasas!C31-Datos!BE31)/Datos!BE31," - ")</f>
        <v>0.41587132590592796</v>
      </c>
      <c r="J31" s="1097">
        <f>IF(ISNUMBER((Tasas!D31-Datos!BF31)/Datos!BF31),(Tasas!D31-Datos!BF31)/Datos!BF31," - ")</f>
        <v>-0.26006652661064428</v>
      </c>
      <c r="K31" s="1097">
        <f>IF(ISNUMBER((Tasas!E31-Datos!BG31)/Datos!BG31),(Tasas!E31-Datos!BG31)/Datos!BG31," - ")</f>
        <v>0.28255211675384878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NCv/3KcnBFPV0gSpb6WvPKS685X5xaczFwvOIxhkf4iNFUALhdiNYBoUX9aFoD5U0gk3vPZxJSgViVhkzxGVg==" saltValue="1TkNUsCE/vHfLbRDwjwI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LA SEU D'URGELL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8.5</v>
      </c>
      <c r="D10" s="499">
        <f>IF(ISNUMBER('Resol  Asuntos'!D10/NºAsuntos!G10),'Resol  Asuntos'!D10/NºAsuntos!G10," - ")</f>
        <v>0</v>
      </c>
      <c r="E10" s="500">
        <f>IF(ISNUMBER((NºAsuntos!C10+NºAsuntos!E10)/NºAsuntos!G10),(NºAsuntos!C10+NºAsuntos!E10)/NºAsuntos!G10," - ")</f>
        <v>9.5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0.69047619047619047</v>
      </c>
      <c r="C12" s="498">
        <f>IF(ISNUMBER(NºAsuntos!I12/NºAsuntos!G12),NºAsuntos!I12/NºAsuntos!G12," - ")</f>
        <v>5.0402298850574709</v>
      </c>
      <c r="D12" s="499">
        <f>IF(ISNUMBER('Resol  Asuntos'!D12/NºAsuntos!G12),'Resol  Asuntos'!D12/NºAsuntos!G12," - ")</f>
        <v>0.25287356321839083</v>
      </c>
      <c r="E12" s="500">
        <f>IF(ISNUMBER((NºAsuntos!C12+NºAsuntos!E12)/NºAsuntos!G12),(NºAsuntos!C12+NºAsuntos!E12)/NºAsuntos!G12," - ")</f>
        <v>6.0402298850574709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0.69565217391304346</v>
      </c>
      <c r="C14" s="1156">
        <f>IF(ISNUMBER(NºAsuntos!I14/NºAsuntos!G14),NºAsuntos!I14/NºAsuntos!G14," - ")</f>
        <v>5.0795454545454541</v>
      </c>
      <c r="D14" s="1157">
        <f>IF(ISNUMBER('Resol  Asuntos'!D14/NºAsuntos!G14),'Resol  Asuntos'!D14/NºAsuntos!G14," - ")</f>
        <v>0.25</v>
      </c>
      <c r="E14" s="1158">
        <f>IF(ISNUMBER((NºAsuntos!C14+NºAsuntos!E14)/NºAsuntos!G14),(NºAsuntos!C14+NºAsuntos!E14)/NºAsuntos!G14," - ")</f>
        <v>6.0795454545454541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0.70663265306122447</v>
      </c>
      <c r="C17" s="498">
        <f>IF(ISNUMBER(NºAsuntos!I17/NºAsuntos!G17),NºAsuntos!I17/NºAsuntos!G17," - ")</f>
        <v>1.5379061371841156</v>
      </c>
      <c r="D17" s="499">
        <f>IF(ISNUMBER('Resol  Asuntos'!D17/NºAsuntos!G17),'Resol  Asuntos'!D17/NºAsuntos!G17," - ")</f>
        <v>0.11913357400722022</v>
      </c>
      <c r="E17" s="500">
        <f>IF(ISNUMBER((NºAsuntos!C17+NºAsuntos!E17)/NºAsuntos!G17),(NºAsuntos!C17+NºAsuntos!E17)/NºAsuntos!G17," - ")</f>
        <v>2.5379061371841156</v>
      </c>
      <c r="G17" s="523"/>
    </row>
    <row r="18" spans="1:7">
      <c r="A18" s="450" t="str">
        <f>Datos!A18</f>
        <v>Jdos. Violencia contra la mujer</v>
      </c>
      <c r="B18" s="497">
        <f>IF(ISNUMBER(NºAsuntos!G18/NºAsuntos!E18),NºAsuntos!G18/NºAsuntos!E18," - ")</f>
        <v>0.71875</v>
      </c>
      <c r="C18" s="498">
        <f>IF(ISNUMBER(NºAsuntos!I18/NºAsuntos!G18),NºAsuntos!I18/NºAsuntos!G18," - ")</f>
        <v>3.1304347826086958</v>
      </c>
      <c r="D18" s="499">
        <f>IF(ISNUMBER('Resol  Asuntos'!D18/NºAsuntos!G18),'Resol  Asuntos'!D18/NºAsuntos!G18," - ")</f>
        <v>8.6956521739130432E-2</v>
      </c>
      <c r="E18" s="500">
        <f>IF(ISNUMBER((NºAsuntos!C18+NºAsuntos!E18)/NºAsuntos!G18),(NºAsuntos!C18+NºAsuntos!E18)/NºAsuntos!G18," - ")</f>
        <v>4.1304347826086953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0.70754716981132071</v>
      </c>
      <c r="C23" s="1156">
        <f>IF(ISNUMBER(NºAsuntos!I23/NºAsuntos!G23),NºAsuntos!I23/NºAsuntos!G23," - ")</f>
        <v>1.66</v>
      </c>
      <c r="D23" s="1159">
        <f>IF(ISNUMBER('Resol  Asuntos'!D23/NºAsuntos!G23),'Resol  Asuntos'!D23/NºAsuntos!G23," - ")</f>
        <v>0.11666666666666667</v>
      </c>
      <c r="E23" s="1158">
        <f>IF(ISNUMBER((NºAsuntos!C23+NºAsuntos!E23)/NºAsuntos!G23),(NºAsuntos!C23+NºAsuntos!E23)/NºAsuntos!G23," - ")</f>
        <v>2.66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0.70310192023633677</v>
      </c>
      <c r="C31" s="1099">
        <f>IF(ISNUMBER(NºAsuntos!I31/NºAsuntos!G31),NºAsuntos!I31/NºAsuntos!G31," - ")</f>
        <v>2.9243697478991595</v>
      </c>
      <c r="D31" s="1100">
        <f>IF(ISNUMBER('Resol  Asuntos'!D31/NºAsuntos!G31),'Resol  Asuntos'!D31/NºAsuntos!G31," - ")</f>
        <v>0.16596638655462184</v>
      </c>
      <c r="E31" s="1101">
        <f>IF(ISNUMBER((NºAsuntos!C31+NºAsuntos!E31)/NºAsuntos!G31),(NºAsuntos!C31+NºAsuntos!E31)/NºAsuntos!G31," - ")</f>
        <v>3.9243697478991595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r+dgM86nZ7bW3kBAjf6okgT9bFRCDh3RnYtFqCnfcSeWljQcyvofY8RYsLfJdM7s334/7cc0exK5MD3XEGjIw==" saltValue="PX+ZSmvfucfFGfI8w1l3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LA SEU D'URGELL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9</v>
      </c>
      <c r="Y10" s="374">
        <f t="shared" ref="Y10:Y13" si="0">SUM(W10:X10)</f>
        <v>11</v>
      </c>
      <c r="Z10" s="375" t="str">
        <f>IF(ISNUMBER(Datos!CC10),Datos!CC10," - ")</f>
        <v xml:space="preserve"> - </v>
      </c>
      <c r="AA10" s="372">
        <f>IF(ISNUMBER(Datos!L10),Datos!L10,"-")</f>
        <v>17</v>
      </c>
      <c r="AB10" s="374">
        <f>IF(ISNUMBER(Datos!R10),Datos!R10," - ")</f>
        <v>3</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17</v>
      </c>
      <c r="AN10" s="267">
        <f>IF(ISNUMBER('Resol  Asuntos'!D10/NºAsuntos!G10),'Resol  Asuntos'!D10/NºAsuntos!G10," - ")</f>
        <v>0</v>
      </c>
      <c r="AO10" s="268">
        <f>IF(ISNUMBER((NºAsuntos!C10+NºAsuntos!E10)/NºAsuntos!G10),(NºAsuntos!C10+NºAsuntos!E10)/NºAsuntos!G10," - ")</f>
        <v>9.5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0.69047619047619047</v>
      </c>
      <c r="AM12" s="284">
        <f>IF(ISNUMBER(((NºAsuntos!I12/NºAsuntos!G12)*11)/factor_trimestre),((NºAsuntos!I12/NºAsuntos!G12)*11)/factor_trimestre," - ")</f>
        <v>10.080459770114942</v>
      </c>
      <c r="AN12" s="267">
        <f>IF(ISNUMBER('Resol  Asuntos'!D12/NºAsuntos!G12),'Resol  Asuntos'!D12/NºAsuntos!G12," - ")</f>
        <v>0.25287356321839083</v>
      </c>
      <c r="AO12" s="268">
        <f>IF(ISNUMBER((NºAsuntos!C12+NºAsuntos!E12)/NºAsuntos!G12),(NºAsuntos!C12+NºAsuntos!E12)/NºAsuntos!G12," - ")</f>
        <v>6.0402298850574709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102</v>
      </c>
      <c r="Y14" s="1165">
        <f t="shared" si="6"/>
        <v>104</v>
      </c>
      <c r="Z14" s="1165">
        <f t="shared" si="6"/>
        <v>0</v>
      </c>
      <c r="AA14" s="1165">
        <f t="shared" si="6"/>
        <v>17</v>
      </c>
      <c r="AB14" s="1165">
        <f t="shared" si="6"/>
        <v>915</v>
      </c>
      <c r="AC14" s="1165">
        <f t="shared" si="6"/>
        <v>20</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0.69565217391304346</v>
      </c>
      <c r="AM14" s="1171">
        <f>IF(ISNUMBER(((NºAsuntos!I14/NºAsuntos!G14)*11)/factor_trimestre),((NºAsuntos!I14/NºAsuntos!G14)*11)/factor_trimestre," - ")</f>
        <v>10.159090909090908</v>
      </c>
      <c r="AN14" s="1172">
        <f>IF(ISNUMBER('Resol  Asuntos'!D14/NºAsuntos!G14),'Resol  Asuntos'!D14/NºAsuntos!G14," - ")</f>
        <v>0.25</v>
      </c>
      <c r="AO14" s="1173">
        <f>IF(ISNUMBER((NºAsuntos!C14+NºAsuntos!E14)/NºAsuntos!G14),(NºAsuntos!C14+NºAsuntos!E14)/NºAsuntos!G14," - ")</f>
        <v>6.0795454545454541</v>
      </c>
      <c r="AP14" s="1174" t="str">
        <f t="shared" si="2"/>
        <v xml:space="preserve"> - </v>
      </c>
      <c r="AQ14" s="1174">
        <f>IF(ISNUMBER((H14-W14+K14)/(F14)),(H14-W14+K14)/(F14)," - ")</f>
        <v>-0.1111111111111111</v>
      </c>
      <c r="AR14" s="1175">
        <f>IF(ISNUMBER((Datos!P14-Datos!Q14)/(Datos!R14-Datos!P14+Datos!Q14)),(Datos!P14-Datos!Q14)/(Datos!R14-Datos!P14+Datos!Q14)," - ")</f>
        <v>-7.0121951219512202E-2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311</v>
      </c>
      <c r="G17" s="373">
        <f>IF(ISNUMBER(IF(D_I="SI",Datos!I17,Datos!I17+Datos!AC17)),IF(D_I="SI",Datos!I17,Datos!I17+Datos!AC17)," - ")</f>
        <v>311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277</v>
      </c>
      <c r="X17" s="240">
        <f>IF(ISNUMBER(Datos!Q17),Datos!Q17," - ")</f>
        <v>1</v>
      </c>
      <c r="Y17" s="374">
        <f t="shared" ref="Y17:Y22" si="9">SUM(W17:X17)</f>
        <v>278</v>
      </c>
      <c r="Z17" s="375" t="str">
        <f>IF(ISNUMBER(Datos!CC17),Datos!CC17," - ")</f>
        <v xml:space="preserve"> - </v>
      </c>
      <c r="AA17" s="372">
        <f>IF(ISNUMBER(IF(D_I="SI",Datos!L17,Datos!L17+Datos!AF17)),IF(D_I="SI",Datos!L17,Datos!L17+Datos!AF17)," - ")</f>
        <v>426</v>
      </c>
      <c r="AB17" s="374">
        <f>IF(ISNUMBER(Datos!R17),Datos!R17," - ")</f>
        <v>47</v>
      </c>
      <c r="AC17" s="374">
        <f t="shared" si="8"/>
        <v>473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0.70663265306122447</v>
      </c>
      <c r="AM17" s="284">
        <f>IF(ISNUMBER(((NºAsuntos!I17/NºAsuntos!G17)*11)/factor_trimestre),((NºAsuntos!I17/NºAsuntos!G17)*11)/factor_trimestre," - ")</f>
        <v>3.0758122743682317</v>
      </c>
      <c r="AN17" s="267">
        <f>IF(ISNUMBER('Resol  Asuntos'!D17/NºAsuntos!G17),'Resol  Asuntos'!D17/NºAsuntos!G17," - ")</f>
        <v>0.11913357400722022</v>
      </c>
      <c r="AO17" s="268">
        <f>IF(ISNUMBER((NºAsuntos!C17+NºAsuntos!E17)/NºAsuntos!G17),(NºAsuntos!C17+NºAsuntos!E17)/NºAsuntos!G17," - ")</f>
        <v>2.5379061371841156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72</v>
      </c>
      <c r="AB18" s="374">
        <f>IF(ISNUMBER(Datos!R18),Datos!R18," - ")</f>
        <v>4</v>
      </c>
      <c r="AC18" s="374">
        <f t="shared" si="8"/>
        <v>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0.71875</v>
      </c>
      <c r="AM18" s="284">
        <f>IF(ISNUMBER(((NºAsuntos!I18/NºAsuntos!G18)*11)/factor_trimestre),((NºAsuntos!I18/NºAsuntos!G18)*11)/factor_trimestre," - ")</f>
        <v>6.2608695652173916</v>
      </c>
      <c r="AN18" s="267">
        <f>IF(ISNUMBER('Resol  Asuntos'!D18/NºAsuntos!G18),'Resol  Asuntos'!D18/NºAsuntos!G18," - ")</f>
        <v>8.6956521739130432E-2</v>
      </c>
      <c r="AO18" s="268">
        <f>IF(ISNUMBER((NºAsuntos!C18+NºAsuntos!E18)/NºAsuntos!G18),(NºAsuntos!C18+NºAsuntos!E18)/NºAsuntos!G18," - ")</f>
        <v>4.1304347826086953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311</v>
      </c>
      <c r="G23" s="1163">
        <f>SUBTOTAL(9,G16:G22)</f>
        <v>374</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v>
      </c>
      <c r="X23" s="1164">
        <f t="shared" si="14"/>
        <v>1</v>
      </c>
      <c r="Y23" s="1165">
        <f t="shared" si="14"/>
        <v>301</v>
      </c>
      <c r="Z23" s="1165">
        <f t="shared" si="14"/>
        <v>0</v>
      </c>
      <c r="AA23" s="1165">
        <f t="shared" si="14"/>
        <v>498</v>
      </c>
      <c r="AB23" s="1165">
        <f t="shared" si="14"/>
        <v>51</v>
      </c>
      <c r="AC23" s="1165">
        <f t="shared" si="14"/>
        <v>549</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0.70754716981132071</v>
      </c>
      <c r="AM23" s="1171">
        <f>IF(ISNUMBER(((NºAsuntos!I23/NºAsuntos!G23)*11)/factor_trimestre),((NºAsuntos!I23/NºAsuntos!G23)*11)/factor_trimestre," - ")</f>
        <v>3.32</v>
      </c>
      <c r="AN23" s="1172">
        <f>IF(ISNUMBER('Resol  Asuntos'!D23/NºAsuntos!G23),'Resol  Asuntos'!D23/NºAsuntos!G23," - ")</f>
        <v>0.11666666666666667</v>
      </c>
      <c r="AO23" s="1173">
        <f>IF(ISNUMBER((NºAsuntos!C23+NºAsuntos!E23)/NºAsuntos!G23),(NºAsuntos!C23+NºAsuntos!E23)/NºAsuntos!G23," - ")</f>
        <v>2.66</v>
      </c>
      <c r="AP23" s="1174" t="str">
        <f t="shared" si="2"/>
        <v xml:space="preserve"> - </v>
      </c>
      <c r="AQ23" s="1174">
        <f>IF(ISNUMBER((H23-W23+K23)/(F23)),(H23-W23+K23)/(F23)," - ")</f>
        <v>-0.96463022508038587</v>
      </c>
      <c r="AR23" s="1175">
        <f>IF(ISNUMBER((Datos!P23-Datos!Q23)/(Datos!R23-Datos!P23+Datos!Q23)),(Datos!P23-Datos!Q23)/(Datos!R23-Datos!P23+Datos!Q23)," - ")</f>
        <v>4.0816326530612242E-2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329</v>
      </c>
      <c r="G31" s="1118">
        <f t="shared" si="20"/>
        <v>392</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302</v>
      </c>
      <c r="X31" s="1118">
        <f t="shared" si="21"/>
        <v>103</v>
      </c>
      <c r="Y31" s="1125">
        <f t="shared" si="21"/>
        <v>405</v>
      </c>
      <c r="Z31" s="1125">
        <f t="shared" si="21"/>
        <v>0</v>
      </c>
      <c r="AA31" s="1125">
        <f t="shared" si="21"/>
        <v>515</v>
      </c>
      <c r="AB31" s="1125">
        <f t="shared" si="21"/>
        <v>966</v>
      </c>
      <c r="AC31" s="1125">
        <f t="shared" si="21"/>
        <v>569</v>
      </c>
      <c r="AD31" s="1125">
        <f t="shared" si="21"/>
        <v>0</v>
      </c>
      <c r="AE31" s="1127">
        <f t="shared" si="21"/>
        <v>0</v>
      </c>
      <c r="AF31" s="1128">
        <f t="shared" si="21"/>
        <v>0</v>
      </c>
      <c r="AG31" s="1129">
        <f t="shared" si="21"/>
        <v>0</v>
      </c>
      <c r="AH31" s="1127">
        <f t="shared" si="21"/>
        <v>0</v>
      </c>
      <c r="AI31" s="1117">
        <f t="shared" si="21"/>
        <v>79</v>
      </c>
      <c r="AJ31" s="1117">
        <f t="shared" si="21"/>
        <v>0</v>
      </c>
      <c r="AK31" s="1127">
        <f t="shared" si="21"/>
        <v>0</v>
      </c>
      <c r="AL31" s="1183">
        <f>IF(ISNUMBER(NºAsuntos!G31/NºAsuntos!E31),NºAsuntos!G31/NºAsuntos!E31," - ")</f>
        <v>0.70310192023633677</v>
      </c>
      <c r="AM31" s="1184">
        <f>IF(ISNUMBER(((NºAsuntos!I31/NºAsuntos!G31)*11)/factor_trimestre),((NºAsuntos!I31/NºAsuntos!G31)*11)/factor_trimestre," - ")</f>
        <v>5.848739495798319</v>
      </c>
      <c r="AN31" s="1184">
        <f>IF(ISNUMBER('Resol  Asuntos'!D31/NºAsuntos!G31),'Resol  Asuntos'!D31/NºAsuntos!G31," - ")</f>
        <v>0.16596638655462184</v>
      </c>
      <c r="AO31" s="1185">
        <f>IF(ISNUMBER((NºAsuntos!C31+NºAsuntos!E31)/NºAsuntos!G31),(NºAsuntos!C31+NºAsuntos!E31)/NºAsuntos!G31," - ")</f>
        <v>3.9243697478991595</v>
      </c>
      <c r="AP31" s="1186" t="str">
        <f t="shared" si="2"/>
        <v xml:space="preserve"> - </v>
      </c>
      <c r="AQ31" s="1187">
        <f>IF(OR(ISNUMBER(FIND("01",Criterios!A8,1)),ISNUMBER(FIND("02",Criterios!A8,1)),ISNUMBER(FIND("03",Criterios!A8,1)),ISNUMBER(FIND("04",Criterios!A8,1))),(I31-W31+K31)/(F31-K31),(H31-W31+K31)/(F31-K31))</f>
        <v>-0.91793313069908811</v>
      </c>
      <c r="AR31" s="1188">
        <f>IF(ISNUMBER((Datos!P31-Datos!Q31)/(Datos!R31-Datos!P31+Datos!Q31)),(Datos!P31-Datos!Q31)/(Datos!R31-Datos!P31+Datos!Q31)," - ")</f>
        <v>-6.4859632139399812E-2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156.15974726755505</v>
      </c>
      <c r="G33" s="277">
        <f>IF(ISNUMBER(STDEV(G8:G30)),STDEV(G8:G30),"-")</f>
        <v>159.89892640873694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138.53364727953794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20.940391591371924</v>
      </c>
      <c r="AJ33" s="276">
        <f t="shared" si="25"/>
        <v>0</v>
      </c>
      <c r="AK33" s="278">
        <f t="shared" si="25"/>
        <v>0</v>
      </c>
      <c r="AL33" s="273">
        <f t="shared" si="25"/>
        <v>0.52925917482230422</v>
      </c>
      <c r="AM33" s="274">
        <f t="shared" si="25"/>
        <v>5.2643195737787103</v>
      </c>
      <c r="AN33" s="274">
        <f t="shared" si="25"/>
        <v>9.818298166947341E-2</v>
      </c>
      <c r="AO33" s="275">
        <f t="shared" si="25"/>
        <v>2.6321597868893569</v>
      </c>
      <c r="AP33" s="317" t="str">
        <f t="shared" si="25"/>
        <v>-</v>
      </c>
      <c r="AQ33" s="318">
        <f t="shared" si="25"/>
        <v>0.6035291533600079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zPxw8SgVjN3GMOqG8QajYVeXzFL0kqKt/jv05r2qTtT6ePZZHzLzx6zj6DJRigkIUJTrons811noAne0PIayA==" saltValue="DbKBhM4uOA8m5Xnya//+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LA SEU D'URGELL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-0.8</v>
      </c>
      <c r="F10" s="393">
        <f>IF(ISNUMBER((Datos!K10-Datos!U10)/Datos!U10),(Datos!K10-Datos!U10)/Datos!U10," - ")</f>
        <v>-0.33333333333333331</v>
      </c>
      <c r="G10" s="394">
        <f>IF(ISNUMBER((Datos!L10-Datos!V10)/Datos!V10),(Datos!L10-Datos!V10)/Datos!V10," - ")</f>
        <v>0</v>
      </c>
      <c r="H10" s="244">
        <f>IF(ISNUMBER((Datos!M10-Datos!W10)/Datos!W10),(Datos!M10-Datos!W10)/Datos!W10," - ")</f>
        <v>-1</v>
      </c>
      <c r="I10" s="395">
        <f>IF(ISNUMBER((Tasas!C10-Datos!BE10)/Datos!BE10),(Tasas!C10-Datos!BE10)/Datos!BE10," - ")</f>
        <v>0.49999999999999994</v>
      </c>
      <c r="J10" s="394">
        <f>IF(ISNUMBER((Tasas!D10-Datos!BF10)/Datos!BF10),(Tasas!D10-Datos!BF10)/Datos!BF10," - ")</f>
        <v>-1</v>
      </c>
      <c r="K10" s="396">
        <f>IF(ISNUMBER((Tasas!E10-Datos!BG10)/Datos!BG10),(Tasas!E10-Datos!BG10)/Datos!BG10," - ")</f>
        <v>0.42499999999999993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0.46666666666666667</v>
      </c>
      <c r="I12" s="395">
        <f>IF(ISNUMBER((Tasas!C12-Datos!BE12)/Datos!BE12),(Tasas!C12-Datos!BE12)/Datos!BE12," - ")</f>
        <v>0.18015138772077377</v>
      </c>
      <c r="J12" s="394">
        <f>IF(ISNUMBER((Tasas!D12-Datos!BF12)/Datos!BF12),(Tasas!D12-Datos!BF12)/Datos!BF12," - ")</f>
        <v>-0.38542121344391089</v>
      </c>
      <c r="K12" s="396">
        <f>IF(ISNUMBER((Tasas!E12-Datos!BG12)/Datos!BG12),(Tasas!E12-Datos!BG12)/Datos!BG12," - ")</f>
        <v>0.1459724683112989</v>
      </c>
      <c r="M12" t="e">
        <f>IF(Monitorios="SI",Datos!CE12,0)</f>
        <v>#REF!</v>
      </c>
      <c r="N12" t="e">
        <f>IF(Monitorios="SI",Datos!CF12,0)</f>
        <v>#REF!</v>
      </c>
      <c r="O12" t="e">
        <f>IF(Monitorios="SI",Datos!CG12,0)</f>
        <v>#REF!</v>
      </c>
      <c r="P12" t="e">
        <f>IF(Monitorios="SI",Datos!CH12,0)</f>
        <v>#REF!</v>
      </c>
      <c r="Q12">
        <f>IF(J_V="SI",0,Datos!AG12)</f>
        <v>37</v>
      </c>
      <c r="R12">
        <f>IF(J_V="SI",0,Datos!AH12)</f>
        <v>7</v>
      </c>
      <c r="S12">
        <f>IF(J_V="SI",0,Datos!AI12)</f>
        <v>8</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0.375</v>
      </c>
      <c r="I14" s="402">
        <f>IF(ISNUMBER((Tasas!C14-Datos!BE14)/Datos!BE14),(Tasas!C14-Datos!BE14)/Datos!BE14," - ")</f>
        <v>0.18340664711632448</v>
      </c>
      <c r="J14" s="400">
        <f>IF(ISNUMBER((Tasas!D14-Datos!BF14)/Datos!BF14),(Tasas!D14-Datos!BF14)/Datos!BF14," - ")</f>
        <v>-0.3981481481481482</v>
      </c>
      <c r="K14" s="403">
        <f>IF(ISNUMBER((Tasas!E14-Datos!BG14)/Datos!BG14),(Tasas!E14-Datos!BG14)/Datos!BG14," - ")</f>
        <v>0.14875132135306549</v>
      </c>
      <c r="M14" t="e">
        <f>IF(Monitorios="SI",Datos!CE14,0)</f>
        <v>#REF!</v>
      </c>
      <c r="N14" t="e">
        <f>IF(Monitorios="SI",Datos!CF14,0)</f>
        <v>#REF!</v>
      </c>
      <c r="O14" t="e">
        <f>IF(Monitorios="SI",Datos!CG14,0)</f>
        <v>#REF!</v>
      </c>
      <c r="P14" t="e">
        <f>IF(Monitorios="SI",Datos!CH14,0)</f>
        <v>#REF!</v>
      </c>
      <c r="Q14">
        <f>IF(J_V="SI",0,Datos!AG14)</f>
        <v>37</v>
      </c>
      <c r="R14">
        <f>IF(J_V="SI",0,Datos!AH14)</f>
        <v>7</v>
      </c>
      <c r="S14">
        <f>IF(J_V="SI",0,Datos!AI14)</f>
        <v>8</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0.37004405286343611</v>
      </c>
      <c r="E17" s="393">
        <f>IF(ISNUMBER(
   IF(D_I="SI",(Datos!J17-Datos!T17)/Datos!T17,(Datos!J17+Datos!AD17-(Datos!T17+Datos!AL17))/(Datos!T17+Datos!AL17))
     ),IF(D_I="SI",(Datos!J17-Datos!T17)/Datos!T17,(Datos!J17+Datos!AD17-(Datos!T17+Datos!AL17))/(Datos!T17+Datos!AL17))," - ")</f>
        <v>0.22500000000000001</v>
      </c>
      <c r="F17" s="393">
        <f>IF(ISNUMBER(
   IF(D_I="SI",(Datos!K17-Datos!U17)/Datos!U17,(Datos!K17+Datos!AE17-(Datos!U17+Datos!AM17))/(Datos!U17+Datos!AM17))
     ),IF(D_I="SI",(Datos!K17-Datos!U17)/Datos!U17,(Datos!K17+Datos!AE17-(Datos!U17+Datos!AM17))/(Datos!U17+Datos!AM17))," - ")</f>
        <v>-0.1178343949044586</v>
      </c>
      <c r="G17" s="394">
        <f>IF(ISNUMBER(
   IF(D_I="SI",(Datos!L17-Datos!V17)/Datos!V17,(Datos!L17+Datos!AF17-(Datos!V17+Datos!AN17))/(Datos!V17+Datos!AN17))
     ),IF(D_I="SI",(Datos!L17-Datos!V17)/Datos!V17,(Datos!L17+Datos!AF17-(Datos!V17+Datos!AN17))/(Datos!V17+Datos!AN17))," - ")</f>
        <v>0.80508474576271183</v>
      </c>
      <c r="H17" s="244">
        <f>IF(ISNUMBER((Datos!M17-Datos!W17)/Datos!W17),(Datos!M17-Datos!W17)/Datos!W17," - ")</f>
        <v>0</v>
      </c>
      <c r="I17" s="395">
        <f>IF(ISNUMBER((Tasas!C17-Datos!BE17)/Datos!BE17),(Tasas!C17-Datos!BE17)/Datos!BE17," - ")</f>
        <v>1.0461971486263231</v>
      </c>
      <c r="J17" s="394">
        <f>IF(ISNUMBER((Tasas!D17-Datos!BF17)/Datos!BF17),(Tasas!D17-Datos!BF17)/Datos!BF17," - ")</f>
        <v>0.13357400722021656</v>
      </c>
      <c r="K17" s="396">
        <f>IF(ISNUMBER((Tasas!E17-Datos!BG17)/Datos!BG17),(Tasas!E17-Datos!BG17)/Datos!BG17," - ")</f>
        <v>0.45686019575102804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1.625</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-0.11538461538461539</v>
      </c>
      <c r="G18" s="394">
        <f>IF(ISNUMBER(
   IF(D_I="SI",(Datos!L18-Datos!V18)/Datos!V18,(Datos!L18+Datos!AF18-(Datos!V18+Datos!AN18))/(Datos!V18+Datos!AN18))
     ),IF(D_I="SI",(Datos!L18-Datos!V18)/Datos!V18,(Datos!L18+Datos!AF18-(Datos!V18+Datos!AN18))/(Datos!V18+Datos!AN18))," - ")</f>
        <v>1.25</v>
      </c>
      <c r="H18" s="244">
        <f>IF(ISNUMBER((Datos!M18-Datos!W18)/Datos!W18),(Datos!M18-Datos!W18)/Datos!W18," - ")</f>
        <v>-0.66666666666666663</v>
      </c>
      <c r="I18" s="395">
        <f>IF(ISNUMBER((Tasas!C18-Datos!BE18)/Datos!BE18),(Tasas!C18-Datos!BE18)/Datos!BE18," - ")</f>
        <v>1.5434782608695652</v>
      </c>
      <c r="J18" s="394">
        <f>IF(ISNUMBER((Tasas!D18-Datos!BF18)/Datos!BF18),(Tasas!D18-Datos!BF18)/Datos!BF18," - ")</f>
        <v>-0.62318840579710144</v>
      </c>
      <c r="K18" s="396">
        <f>IF(ISNUMBER((Tasas!E18-Datos!BG18)/Datos!BG18),(Tasas!E18-Datos!BG18)/Datos!BG18," - ")</f>
        <v>0.85157421289355306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0.49003984063745021</v>
      </c>
      <c r="E23" s="399">
        <f>IF(ISNUMBER(
   IF(D_I="SI",(Datos!J23-Datos!T23)/Datos!T23,(Datos!J23+Datos!AD23-(Datos!T23+Datos!AL23))/(Datos!T23+Datos!AL23))
     ),IF(D_I="SI",(Datos!J23-Datos!T23)/Datos!T23,(Datos!J23+Datos!AD23-(Datos!T23+Datos!AL23))/(Datos!T23+Datos!AL23))," - ")</f>
        <v>0.19774011299435029</v>
      </c>
      <c r="F23" s="399">
        <f>IF(ISNUMBER(
   IF(D_I="SI",(Datos!K23-Datos!U23)/Datos!U23,(Datos!K23+Datos!AE23-(Datos!U23+Datos!AM23))/(Datos!U23+Datos!AM23))
     ),IF(D_I="SI",(Datos!K23-Datos!U23)/Datos!U23,(Datos!K23+Datos!AE23-(Datos!U23+Datos!AM23))/(Datos!U23+Datos!AM23))," - ")</f>
        <v>-0.11764705882352941</v>
      </c>
      <c r="G23" s="400">
        <f>IF(ISNUMBER(
   IF(D_I="SI",(Datos!L23-Datos!V23)/Datos!V23,(Datos!L23+Datos!AF23-(Datos!V23+Datos!AN23))/(Datos!V23+Datos!AN23))
     ),IF(D_I="SI",(Datos!L23-Datos!V23)/Datos!V23,(Datos!L23+Datos!AF23-(Datos!V23+Datos!AN23))/(Datos!V23+Datos!AN23))," - ")</f>
        <v>0.85820895522388063</v>
      </c>
      <c r="H23" s="401">
        <f>IF(ISNUMBER((Datos!M23-Datos!W23)/Datos!W23),(Datos!M23-Datos!W23)/Datos!W23," - ")</f>
        <v>-0.10256410256410256</v>
      </c>
      <c r="I23" s="402">
        <f>IF(ISNUMBER((Tasas!C23-Datos!BE23)/Datos!BE23),(Tasas!C23-Datos!BE23)/Datos!BE23," - ")</f>
        <v>1.1059701492537313</v>
      </c>
      <c r="J23" s="400">
        <f>IF(ISNUMBER((Tasas!D23-Datos!BF23)/Datos!BF23),(Tasas!D23-Datos!BF23)/Datos!BF23," - ")</f>
        <v>1.7094017094017155E-2</v>
      </c>
      <c r="K23" s="403">
        <f>IF(ISNUMBER((Tasas!E23-Datos!BG23)/Datos!BG23),(Tasas!E23-Datos!BG23)/Datos!BG23," - ")</f>
        <v>0.49487603305785138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9.9722991689750698E-2</v>
      </c>
      <c r="E31" s="409">
        <f>IF(ISNUMBER(
   IF(J_V="SI",(Datos!J31-Datos!T31)/Datos!T31,(Datos!J31+Datos!Z31-(Datos!T31+Datos!AH31))/(Datos!T31+Datos!AH31))
     ),IF(J_V="SI",(Datos!J31-Datos!T31)/Datos!T31,(Datos!J31+Datos!Z31-(Datos!T31+Datos!AH31))/(Datos!T31+Datos!AH31))," - ")</f>
        <v>0.22202166064981949</v>
      </c>
      <c r="F31" s="409">
        <f>IF(ISNUMBER(
   IF(J_V="SI",(Datos!K31-Datos!U31)/Datos!U31,(Datos!K31+Datos!AA31-(Datos!U31+Datos!AI31))/(Datos!U31+Datos!AI31))
     ),IF(J_V="SI",(Datos!K31-Datos!U31)/Datos!U31,(Datos!K31+Datos!AA31-(Datos!U31+Datos!AI31))/(Datos!U31+Datos!AI31))," - ")</f>
        <v>-0.1102803738317757</v>
      </c>
      <c r="G31" s="410">
        <f>IF(ISNUMBER(
   IF(J_V="SI",(Datos!L31-Datos!V31)/Datos!V31,(Datos!L31+Datos!AB31-(Datos!V31+Datos!AJ31))/(Datos!V31+Datos!AJ31))
     ),IF(J_V="SI",(Datos!L31-Datos!V31)/Datos!V31,(Datos!L31+Datos!AB31-(Datos!V31+Datos!AJ31))/(Datos!V31+Datos!AJ31))," - ")</f>
        <v>0.25972850678733034</v>
      </c>
      <c r="H31" s="411">
        <f>IF(ISNUMBER((Datos!M31-Datos!W31)/Datos!W31),(Datos!M31-Datos!W31)/Datos!W31," - ")</f>
        <v>0.11267605633802817</v>
      </c>
      <c r="I31" s="408">
        <f>IF(ISNUMBER((Tasas!C31-Datos!BE31)/Datos!BE31),(Tasas!C31-Datos!BE31)/Datos!BE31," - ")</f>
        <v>0.41587132590592796</v>
      </c>
      <c r="J31" s="409">
        <f>IF(ISNUMBER((Tasas!D31-Datos!BF31)/Datos!BF31),(Tasas!D31-Datos!BF31)/Datos!BF31," - ")</f>
        <v>-0.26006652661064428</v>
      </c>
      <c r="K31" s="410">
        <f>IF(ISNUMBER((Tasas!E31-Datos!BG31)/Datos!BG31),(Tasas!E31-Datos!BG31)/Datos!BG31," - ")</f>
        <v>0.28255211675384878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0.64685850273639323</v>
      </c>
      <c r="E33" s="303">
        <f t="shared" si="1"/>
        <v>0.47806700136448949</v>
      </c>
      <c r="F33" s="303">
        <f t="shared" si="1"/>
        <v>0.10819471655931165</v>
      </c>
      <c r="G33" s="304">
        <f t="shared" si="1"/>
        <v>0.52452010181823527</v>
      </c>
      <c r="H33" s="310">
        <f t="shared" si="1"/>
        <v>0.57792227100699456</v>
      </c>
      <c r="I33" s="302">
        <f t="shared" si="1"/>
        <v>0.55708644559941312</v>
      </c>
      <c r="J33" s="303">
        <f t="shared" si="1"/>
        <v>0.41599182238523341</v>
      </c>
      <c r="K33" s="304">
        <f t="shared" si="1"/>
        <v>0.26150020839625343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3KmW16TvyLY//VB9Ey9HwEqvu06JrbnKIxALoozAcOKt8Eta3hPzh/99t1pjFKA+Vwmv8geebqy+ZIsYIMCjQ==" saltValue="mj04ajPGSrlRs7FxTZzn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